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0" windowWidth="15135" windowHeight="7020" activeTab="0"/>
  </bookViews>
  <sheets>
    <sheet name="Բյուջե-ամփոփ" sheetId="1" r:id="rId1"/>
  </sheets>
  <externalReferences>
    <externalReference r:id="rId4"/>
  </externalReferences>
  <definedNames>
    <definedName name="_xlnm.Print_Area" localSheetId="0">'Բյուջե-ամփոփ'!$A$1:$Q$64</definedName>
  </definedNames>
  <calcPr fullCalcOnLoad="1"/>
</workbook>
</file>

<file path=xl/comments1.xml><?xml version="1.0" encoding="utf-8"?>
<comments xmlns="http://schemas.openxmlformats.org/spreadsheetml/2006/main">
  <authors>
    <author>Maria Harutyunyan</author>
  </authors>
  <commentList>
    <comment ref="P74" authorId="0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1551 որոշմամբ 54,333.6 պակասեցվել է </t>
        </r>
      </text>
    </comment>
  </commentList>
</comments>
</file>

<file path=xl/sharedStrings.xml><?xml version="1.0" encoding="utf-8"?>
<sst xmlns="http://schemas.openxmlformats.org/spreadsheetml/2006/main" count="184" uniqueCount="152">
  <si>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</si>
  <si>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</si>
  <si>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</si>
  <si>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</si>
  <si>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</si>
  <si>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</si>
  <si>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</si>
  <si>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</si>
  <si>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</si>
  <si>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</si>
  <si>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</si>
  <si>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</si>
  <si>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</si>
  <si>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</si>
  <si>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</si>
  <si>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</si>
  <si>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</si>
  <si>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</si>
  <si>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</si>
  <si>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</si>
  <si>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</si>
  <si>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</si>
  <si>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</si>
  <si>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</si>
  <si>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</si>
  <si>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</si>
  <si>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</si>
  <si>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</si>
  <si>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</si>
  <si>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</si>
  <si>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 xml:space="preserve">Վերակառուցման և զարգացման եվրոպական բանկի աջակցությամբ իրականացվող Հայաստանի փոքր համայնքների ջրային ծրագրի դրամաշնորհային ծրագիր </t>
  </si>
  <si>
    <t>17</t>
  </si>
  <si>
    <t>18</t>
  </si>
  <si>
    <t>19</t>
  </si>
  <si>
    <t>20</t>
  </si>
  <si>
    <t>21</t>
  </si>
  <si>
    <t>22</t>
  </si>
  <si>
    <t>Համաշխարհային բանկի աջակցությամբ իրականացվող Էներգախնայողության դրամաշնորհային ծրագիր</t>
  </si>
  <si>
    <t>23</t>
  </si>
  <si>
    <t>24</t>
  </si>
  <si>
    <t>25</t>
  </si>
  <si>
    <t>26</t>
  </si>
  <si>
    <t>27</t>
  </si>
  <si>
    <t>29</t>
  </si>
  <si>
    <t xml:space="preserve">Համաշխարհային բանկի աջակցությամբ իրականացվող Սննդի անվտանգության կարողությունների զարգացման դրամաշնորհային ծրագիր </t>
  </si>
  <si>
    <t>Համաշխարհային բանկի աջակցությամբ իրականացվող ՀՀ ֆինանսների նախարարության կարողությունների զարգացման դրամաշնորհային ծրագիր</t>
  </si>
  <si>
    <t>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</si>
  <si>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Համաշխարհային բանկի աջակցությամբ իրականացվող Հայաստանի հանրային ֆինանսական կառավարման հզորացման դրամաշնորհային ծրագիր</t>
  </si>
  <si>
    <t>Համաշխարհային բանկի աջակցությամբ իրականացվող Կենսաթոշակների մասին հանրային իրազեկման և գրագիտության դրամաշնորհային ծրագիր</t>
  </si>
  <si>
    <t>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</si>
  <si>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Գյուղատնտեսության զարգացման միջազգային հիմնադրամի աջակցությամբ իրականացվող գյուղական կարողությունների ստեղծում դրամաշնորհային ծրագիր</t>
  </si>
  <si>
    <t>28</t>
  </si>
  <si>
    <t>Համաշխարհային բանկի աջակցությամբ իրականացվող Հայաստանի գյուղատնտեսական հաշվառման պիլոտային ծրագիր</t>
  </si>
  <si>
    <t xml:space="preserve"> ԱՄՆ կառավարության աջակցությամբ իրականացվող ՙՀազարամյակի մարտահրավեր՚ դրամաշնորհային ծրագիր </t>
  </si>
  <si>
    <t>Եվրոպական հարևանության շրջանակներում ՀՀ-ԵՄ գործողությունների ծրագրով նախատեսված միջոցառումների ֆինանսավորման համար ստացված դրամաշնորհ (2009թ ազգային գործողությունների ծրագիր` «Մասնագիտական կրթության և ուսուցման (ՄԿՈՒ) բարեփոխման շարունակություն և զբաղվածության հայեցակարգի մշակում»)</t>
  </si>
  <si>
    <t>Աջակցություն Հայաստանի Հանրապետության Կառավարությանը՝ ուղղված ԵՀՔ գործողությունների ծրագրի իրականացմանը և ապագա Ասոցացման համաձայնագրի գծով նախապատրաստական աշխատանքներին՝ փուլ II (2011թ.)</t>
  </si>
  <si>
    <t>Աջակցություն Հայաստանում դատական բարեփոխումներին - փուլ II (2012թ.) ֆինանսավորման համաձայնագրի նախագծի վերաբերյալ</t>
  </si>
  <si>
    <t xml:space="preserve"> Համաշխարհային բանկի աջակցությամբ իրականացվող երիտասարդների ներգրավվածության խթանման դրամաշնորհային ծրագիր</t>
  </si>
  <si>
    <t xml:space="preserve"> Համաշխարհային բանկի աջակցությամբ իրականացվող Գլոբալ էկոլոգիական հիմնադրամի  կողմից տրամադրված Համայնքների գյուղատնտեսական ռեսուրսների կառավարման և մրցունակության ծրագիր դրամաշնորհային ծրագիր</t>
  </si>
  <si>
    <t xml:space="preserve"> Եվրոպական ներդրումային բանկի աջակցությամբ իրականացվող Հյուսիս-հարավ տրանսպորտային միջանցքի դրամաշնորհային ծրագիր (Տրանշ 3)</t>
  </si>
  <si>
    <t xml:space="preserve"> Եվրամիության աջակցությամբ իրականացվող Հայաստանի փոքր համայնքների ջրային ծրագրի դրամաշնորհային ծրագիր 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</si>
  <si>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</si>
  <si>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 xml:space="preserve">Գերմանիայի զարգացման վարկերի բանկի աջակցությամբ իրականացվող &lt;&lt;Հայջրմուղկոյուղի&gt;&gt;, &lt;&lt;Շիրակ-ջրմուղկոյուղի&gt;&gt;, &lt;&lt;Լոռի-ջրմուղկոյուղի&gt;&gt; և &lt;&lt;Նոր ակունք&gt;&gt; ՓԲԸ-երի մասնավոր կառավարման շարունակականության ապահովման դրամաշնորհային ծրագիր </t>
  </si>
  <si>
    <t>Գերմանիայի զարգացման և Եվրոպական միության Հարևանության ներդրումային բանկի աջակցությամբ իրականացվող &lt;&lt;Հայջրմուղկոյուղի&gt;&gt; ՓԲԸ-ի ջրամատակարարման և ջրահեռացման ենթակառուցվածքների վերականգնման դրամաշնորհային ծրագրի երրորդ փուլ</t>
  </si>
  <si>
    <t xml:space="preserve"> Եվրոպական ներդրումային բանկի աջակցությամբ  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</si>
  <si>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>Գերմանիայի զարգացման և Եվրոպական միության Հարևանության ներդրումային բանկի աջակցությամբ իրականացվող &lt;&lt;Նոր Ակունք&gt;&gt; ՓԲԸ-ի ջրամատակարարման և ջրահեռացման ենթակառուցվածքների վերականգնման դրամաշնորհային ծրագիրի երրորդ փուլ</t>
  </si>
  <si>
    <t xml:space="preserve"> ԱՄՆ Հիվանդությունների կանխարգելման և վերահսկման կենտրոնի աջակցությամբ իրականացվող «Սեզոնային գրիպի համաճարակաբանական ցանցի հիմնման և արձագանքման» դրամաշնորհային ծրագիր</t>
  </si>
  <si>
    <t xml:space="preserve"> Համաշխարհային բանկի աջակցությամբ իրականացվող Ոչ վարակիչ հիվանդությունների կանխարգելման և վերահսկման դրամաշնորհային ծրագիր</t>
  </si>
  <si>
    <t>Համաշխարհային բանկի աջակցությամբ իրականացվող «Հիվանդությունների կանխարգելման և վերահսկման ծրագրի շրջանակներում  Առողջապահության կատարողականի վրա հիմնված ֆինանսավորման ծրագրի նախապատրաստման համար» դրամաշնորհային ծրագիր</t>
  </si>
  <si>
    <t>1 եվրո / 513.97ՀՀ դրամ</t>
  </si>
  <si>
    <t>1 ԱՄՆ դոլար / 411.21 ՀՀ դրամ</t>
  </si>
  <si>
    <t xml:space="preserve">2015թ  </t>
  </si>
  <si>
    <t>Շիրակի մարզի ջրամատակարարման և ջրահեռացման համակարգերի վերականգնման դրամաշնորհայինծրագիր</t>
  </si>
  <si>
    <t>Լոռու մարզի ջրամատակարարման և ջրահեռացման համակարգերի վերականգնման դրամաշնորհայինծրագիր</t>
  </si>
  <si>
    <t>հազ. դրամ</t>
  </si>
  <si>
    <t>Դանիայի թագավորության աջակցությամբ իրականացվող  գյուղական կարողությունների ստեղծում /1/  դրամաշնորհային ծրագիր</t>
  </si>
  <si>
    <t>31</t>
  </si>
  <si>
    <t>32</t>
  </si>
  <si>
    <t>33</t>
  </si>
  <si>
    <t>34</t>
  </si>
  <si>
    <t>35</t>
  </si>
  <si>
    <t>36</t>
  </si>
  <si>
    <t xml:space="preserve"> Գերմանիայի զարգացման վարկերի բանկի աջակցությամբ իրականացվող Ախուրյան գետի ջրային ռեսուրսների ինտեգրված կառավարման դրամաշնորհային ծրագիր </t>
  </si>
  <si>
    <t>Համաշխարհային բանկի աջակցությամբ իրականացվող ԵՎԲ-ի կողմից ֆինանսավորվող ոռոգման համակարգերի արդիականացման ծրագրի նախապատրաստման համար դրամաշնորհային ծրագիր</t>
  </si>
  <si>
    <t>30</t>
  </si>
  <si>
    <t xml:space="preserve">*** Վերակառուցման եւ զարգացման միջազգային բանկի աջակցությամբ իրականացվող «էլեկտրահաղորդման ցանցի բարելավում» ծրագիր </t>
  </si>
  <si>
    <t>**** Համաշխարհային բանկի աջակցությամբ իրականցվող Փաստաբանների դպրոցի վերապատրաստման կարողությունների զարգացման դրամաշնորհային ծրագիր</t>
  </si>
  <si>
    <t>***** Եվրոպական միության &lt;&lt;Հարևանության ներդրումային գործիքի&gt;&gt;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</si>
  <si>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*****  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</si>
  <si>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«Ավստրիայի զարգացման գործակալություն» ընկերության աջակցությամբ իրականացվող «Հայաստանի Հանրապետությունում կարգավորիչ գիլյոտին»  դրամաշնորհային ծրագիր</t>
  </si>
  <si>
    <t>37</t>
  </si>
  <si>
    <t>38</t>
  </si>
  <si>
    <t>.«Հայաստանի Հանրապետության տարածքային կառավարման և արտակարգ իրավիճակների նախարարության միգրացիոն պետական ծառայության և Նիդերլանդների անվտանգության և արդարադատության նախարարության միջև կնքված համաձայնագրի (Նիդերլանդներից վերադարձող Հայաստանի քաղաքացիներին վերաինտեգրման օգնության շրջանակներում խորհրդատվության և ուղղորդման ծառայության մատուցման մասին) դրամաշնորհային ծրագիր</t>
  </si>
  <si>
    <t>Դանիական թագավորության աջակցությամբ իրականացվող Գյուղական կարողությունների ստեղծում դրամաշնորհային ծրագիր</t>
  </si>
  <si>
    <t>39</t>
  </si>
  <si>
    <t>******Աջակցություն կենսաթոշակային իրազեկման և ֆինանսական գրագիտության բարձրացման գործընթացին</t>
  </si>
  <si>
    <t>40</t>
  </si>
  <si>
    <t>*******Հայաստանի Հանրապետության աշխատանքի և սոցիալական հարցերի նախարարության «Երևանի թիվ 1 տուն-ինտերնատ» պետական ոչ առևտրային կազմակերպության տարածքում անկողնային խնամք ստացող անձանց սպասարկման նպատակով կառուցվելիք նոր մասնաշենքի շինարարական աշխատանքների իրականացում</t>
  </si>
  <si>
    <t>41</t>
  </si>
  <si>
    <t>42</t>
  </si>
  <si>
    <t>*********ՀՀ տարածքային կառավարման և արտակարգ իրավիճակների նախարարության միգրացիոն պետական ծառայության և ՄԱԿ-ի փախստականների գծով գերագույն հանձնակատարի հայաստանյան գրասենյակի միջև կնքված ենթահամաձայնագրերի շրջանակներում հատկացվող ֆինանսական աջակցություն</t>
  </si>
  <si>
    <t>********* Եվրոպական հարևանության և գործընկերության գործիքի ներքո իրականացվող Սևծովյան ավազանի երկրների համատեղ գործողությունների 2007-2013 թվականների դրամաշնորհային ծրագիր</t>
  </si>
  <si>
    <t>43</t>
  </si>
  <si>
    <t>44</t>
  </si>
  <si>
    <t>.Ֆրանսիայի Հանրապետության կառավարության աջակցությամբ իրականացվող Երևանի ջրամատակարարման և ջրահեռացման ծրագրին տրամադրվող տեխնիկական աջակցության դրամաշնորհային ծրագիր (Երևան համայնքի ղեկավարին պետության կողմից պատվիրակված լիազորություն)</t>
  </si>
  <si>
    <t>45</t>
  </si>
  <si>
    <t>Ընդամենը արտաբյուջետային տրանսֆերտներ, այդ թվում`</t>
  </si>
  <si>
    <t>Ընդամենը կապակցված տրանսֆերտները և արտաբյուջետային տրանսֆերտները միասին</t>
  </si>
  <si>
    <t xml:space="preserve"> ՀՀ-ում ՄԻԱՎ/ՁԻԱՀ-ի դեմ պայքարի ազգային ծրագրին աջակցություն (ՄԻՁԱՎ/ՁԻԱՎ, Տուբերկուլյոզի և Մալարիայի դեմ պայքարի Գլոբալ Հիմնադրամ)</t>
  </si>
  <si>
    <t>Հայաստանի Հանրապետությունում տուբերկուլյոզի դեմ պայքարի ազգային ծրագրի ուժեղացում և դեղակայուն տուբերկուլյոզի կառավարման ընդլայնում  (ՄԻՁԱՎ/ՁԻԱՎ, Տուբերկուլյոզի և Մալարիայի դեմ պայքարի Գլոբալ Հիմնադրամ)</t>
  </si>
  <si>
    <t>Եվրոմիության կողմից Հայաստանին տրամադրված  «Աջակցություն ՀՀ գյուղատնտեսությանը և գյուղի զարգացմանը» 2013թ.  բյուջետային աջակցության ծրագրի ֆինանսավորման համաձայնագրի 1-ին հատկացման շրջանակներում 6 մլն եվրո</t>
  </si>
  <si>
    <t>46</t>
  </si>
  <si>
    <t>**********ԻԻՀ-ի աջակցությամբ իրականացվող ՀՀ-ում Իրանի հետ սահմանամերձ բնակավայրերի գազի բաշխման ցանցի կառուցման դրամաշնորհային ծրագիր</t>
  </si>
  <si>
    <t>47</t>
  </si>
  <si>
    <t>Ջրամատակարար ընկերությունների կողմից չսպասարկվող համայնքների ջրամատակարարման և ջրահեռացման համակարգի բարելավմանն ու զարգացմանն ուղղված կիրառելիության ուսումնասիրություն</t>
  </si>
  <si>
    <t>48</t>
  </si>
  <si>
    <t xml:space="preserve"> Վերակառուցման և զարգացման եվրոպական բանկի աջակցությամբ իրականացվող Երևանի ջրամատակարարման բարելավման դրամաշնորհային ծրագիր (Երևանի համայնքի ղեկավարին պետության կողմից պատվիրակված լիազորություն)</t>
  </si>
  <si>
    <t>49</t>
  </si>
  <si>
    <t xml:space="preserve"> *********Համաշխարհային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</si>
  <si>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*********Համաշխարհային բանկի աջակցությամբ իրականացվող Երկրաջերմային հետախուզական հորատման դրամաշնորհային ծրագիր</t>
  </si>
  <si>
    <t xml:space="preserve">*********ՌԴ-ի  աջակցությամբ իրականացվող Հայկական ԱԷԿ-ի N2 էներգաբլոկի շահագործման նախագծային ժամկետի երկարացման դրամաշնորհային ծրագիր </t>
  </si>
  <si>
    <t>ՄԱԿ-ի ՇՄ ծրագրի և Դանիայի տեխնիկական համալսարանի համագործակցության կենտրոնի աջակցությամբ իրականացվող «Տեխնոլոգիաների կարիքների գնահատում» դրամաշնորհային ծրագիր</t>
  </si>
  <si>
    <t>********* Ավելացել է համաձայն ՀՀ կառավարության 04.06.15թ. N 576-Ն   որոշման</t>
  </si>
  <si>
    <t xml:space="preserve"> *************Գերմանիայի զարգացման վարկերի բանկի աջակցությամբ իրականացվող Հարավային Կովկասի տարածաշրջանում բնապահպանական դրամաշնորհային ծրագիր</t>
  </si>
  <si>
    <t>*************Գլոբալ էկոլոգիական հիմնադրամի աջակցությամբ իրականացվող «Հայաստանի Հանրապետությունում ազգային պորտֆելի ձևավորման վարժություն» դրամաշնորհային ծրագիր</t>
  </si>
  <si>
    <t>********* Ավելացել է համաձայն ՀՀ կառավարության 27.05.15թ. N 561-Ն   որոշման</t>
  </si>
  <si>
    <t>**Համաշխարհային բանկի աջակցությամբ իրականացվող ազգային կենսաբազմազանության ռազմավարության և գործողությունների ծրագրի վերանայման և կոնվենցիայի ներկայացվելիք ՀՀ-ում կենսաբանական բազմազանության մասին 5-րդ ազգային հաշվետվության կազմման դրամաշնորհային ծրագիր</t>
  </si>
  <si>
    <t xml:space="preserve"> **Համաշխարհային բանկի աջակցությամբ իրականացվող օժանդակության ինստիտուցիոնալ կարողությունների զարգացմանը` հանքաարդյունաբերության ոլորտում բնապահպանական կառավարումը, ներառումը և թափանցիկությունն ապահովելու նպատակով ԻԶՀ-ի դրամաշնորհային ծրագիր</t>
  </si>
  <si>
    <t xml:space="preserve">************* ՌԴ-ի կառավարության աջակցությամբ իրականացվող ԵՏՄ-ի անդամակցության շրջանակներում ՀՀ-ին տեխնիկական և ֆինանսական աջակցություն ցուցաբերելու դրամաշնորհային ծրագիր </t>
  </si>
  <si>
    <t xml:space="preserve">*              Ավելացել է համաձայն ՀՀ կառավարության 11.02.15թ. N 87-Ն  որոշման </t>
  </si>
  <si>
    <t xml:space="preserve">**          Ավելացել է համաձայն ՀՀ կառավարության 05.03.15թ. N 204-Ն  որոշման </t>
  </si>
  <si>
    <t xml:space="preserve">***        Ավելացել է  համաձայն ՀՀ կառավարության  10.03.15թ. N 233-Ն որոշման </t>
  </si>
  <si>
    <t>******    Ավելացել է համաձայն ՀՀ կառավարության 19.03.15թ. N 267-Ն   որոշման</t>
  </si>
  <si>
    <t xml:space="preserve">****      Ավելացել է համաձայն  ՀՀ կառավարության  26.03.15թ. N 280-Ն որոշման </t>
  </si>
  <si>
    <t>******    Ավելացել է համաձայն ՀՀ կառավարության 30.04.15թ. N 458-Ն   որոշման</t>
  </si>
  <si>
    <t>*****     Ավելացել է համաձայն ՀՀ կառավարության 07.05.15թ. N 472-Ն   որոշման</t>
  </si>
  <si>
    <t>******     Ավելացել է համաձայն ՀՀ կառավարության 18.06.15թ. N 660-Ն   որոշման</t>
  </si>
  <si>
    <t>******     Ավելացել է համաձայն ՀՀ կառավարության 18.06.15թ. N 665-Ն   որոշման</t>
  </si>
  <si>
    <t>*******   Ավելացել է համաձայն ՀՀ կառավարության 06.08.15թ. N 908-Ն   որոշման</t>
  </si>
  <si>
    <t>********   Ավելացել է համաձայն ՀՀ կառավարության 13.08.15թ. N 944-Ն   որոշման</t>
  </si>
  <si>
    <t xml:space="preserve"> Կարողությունների զարգացում արտաբյուջետային միջոցների հաշվին</t>
  </si>
  <si>
    <t>Էլեկտրոնային մոնիթորինգի սարքավորումների փորձարկում քրեակատարողական հիմնարկների պիլոտային ստորաբաժանումներում դրամաշնորհային ծրագիր</t>
  </si>
  <si>
    <t>«Տիկնիկները հանուն խաղաղության և միջմշակութային երկխոսության» համաշխարհային երթ և տիկնիկային թատրոնների միջազգային փառատոն և համաժողով /գլոբալ ծրագրի շրջանակներում/»</t>
  </si>
  <si>
    <t>Դասընթացավարների վերապատրաստում. Կանանց և տղամարդկանց իրավահավասարությունը երիտասարդների աշխատանքներում</t>
  </si>
  <si>
    <t xml:space="preserve"> Ճամփորդություն Հայ տպագրության քառուղիներով՝ նվիրված Ոսկան Երևանցու 400-ամյակին</t>
  </si>
  <si>
    <t>Հայաստան ժողովրդագրության և առողջության հարցերի հետազոտություն ԱՄՆ-ի միջազգային զարգացման գործակալություն</t>
  </si>
  <si>
    <t>******* Ավելացել է համաձայն ՀՀ կառավարության 17.09.15թ. N 1054-Ն   որոշման</t>
  </si>
  <si>
    <t>******* Ավելացել է համաձայն ՀՀ կառավարության 17.09.15թ. N 1064-Ն   որոշման</t>
  </si>
  <si>
    <t>«Հայաստանի Հանրապետության Շիրակի, Լոռու և Տավուշի մարզերի բժշկական ուսումնական հաստատություններում ՄԻԱՎ/ՁԻԱՀ-ին վերաբերող կրթության և ուսուցման մակարդակի բարելավման նպատակով սեմինար-վերապատրաստումների կազմակերպում»</t>
  </si>
  <si>
    <t>2015 թվականի պետական բյուջեով նախատեսված Հայաստանի Հանրապետությանը տրամադրված դրամաշնորհների վերաբերյալ 31.12.2015թ. դրությամբ</t>
  </si>
  <si>
    <t>50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</si>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</sst>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  <numFmt numFmtId="191" formatCode="[$-409]h:mm:ss\ AM/PM"/>
    <numFmt numFmtId="192" formatCode="_(* #,##0.000_);_(* \(#,##0.000\);_(* &quot;-&quot;???_);_(@_)"/>
  </numFmts>
  <fonts count="47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2" fillId="33" borderId="0" xfId="42" applyNumberFormat="1" applyFont="1" applyFill="1" applyBorder="1" applyAlignment="1">
      <alignment/>
    </xf>
    <xf numFmtId="43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center" vertical="center"/>
      <protection/>
    </xf>
    <xf numFmtId="49" fontId="7" fillId="33" borderId="11" xfId="1" applyNumberFormat="1" applyFont="1" applyFill="1" applyBorder="1" applyAlignment="1">
      <alignment horizontal="center" vertical="center" wrapText="1"/>
    </xf>
    <xf numFmtId="174" fontId="4" fillId="33" borderId="0" xfId="0" applyNumberFormat="1" applyFont="1" applyFill="1" applyBorder="1" applyAlignment="1">
      <alignment/>
    </xf>
    <xf numFmtId="0" fontId="4" fillId="33" borderId="0" xfId="56" applyFont="1" applyFill="1" applyBorder="1" applyAlignment="1">
      <alignment vertical="center"/>
      <protection/>
    </xf>
    <xf numFmtId="43" fontId="4" fillId="33" borderId="0" xfId="42" applyFont="1" applyFill="1" applyBorder="1" applyAlignment="1">
      <alignment vertical="center"/>
    </xf>
    <xf numFmtId="174" fontId="4" fillId="33" borderId="0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4" fillId="33" borderId="0" xfId="42" applyFont="1" applyFill="1" applyBorder="1" applyAlignment="1">
      <alignment/>
    </xf>
    <xf numFmtId="0" fontId="4" fillId="33" borderId="0" xfId="0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43" fontId="2" fillId="33" borderId="0" xfId="42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 wrapText="1"/>
    </xf>
    <xf numFmtId="0" fontId="2" fillId="33" borderId="0" xfId="56" applyFont="1" applyFill="1" applyBorder="1" applyAlignment="1">
      <alignment vertical="center"/>
      <protection/>
    </xf>
    <xf numFmtId="43" fontId="2" fillId="33" borderId="0" xfId="0" applyNumberFormat="1" applyFont="1" applyFill="1" applyBorder="1" applyAlignment="1">
      <alignment vertical="center"/>
    </xf>
    <xf numFmtId="172" fontId="2" fillId="33" borderId="0" xfId="57" applyNumberFormat="1" applyFont="1" applyFill="1" applyBorder="1" applyAlignment="1">
      <alignment vertical="center"/>
      <protection/>
    </xf>
    <xf numFmtId="172" fontId="2" fillId="33" borderId="0" xfId="42" applyNumberFormat="1" applyFont="1" applyFill="1" applyBorder="1" applyAlignment="1">
      <alignment vertical="center"/>
    </xf>
    <xf numFmtId="174" fontId="2" fillId="33" borderId="0" xfId="42" applyNumberFormat="1" applyFont="1" applyFill="1" applyBorder="1" applyAlignment="1">
      <alignment horizontal="center" vertical="center"/>
    </xf>
    <xf numFmtId="0" fontId="2" fillId="33" borderId="0" xfId="57" applyFont="1" applyFill="1" applyBorder="1" applyAlignment="1">
      <alignment vertical="center"/>
      <protection/>
    </xf>
    <xf numFmtId="49" fontId="7" fillId="33" borderId="10" xfId="1" applyNumberFormat="1" applyFont="1" applyFill="1" applyBorder="1" applyAlignment="1">
      <alignment horizontal="left" vertical="center" wrapText="1"/>
    </xf>
    <xf numFmtId="172" fontId="7" fillId="33" borderId="10" xfId="1" applyNumberFormat="1" applyFont="1" applyFill="1" applyBorder="1" applyAlignment="1">
      <alignment horizontal="left" vertical="center" wrapText="1"/>
    </xf>
    <xf numFmtId="0" fontId="7" fillId="33" borderId="10" xfId="55" applyFont="1" applyFill="1" applyBorder="1" applyAlignment="1">
      <alignment horizontal="left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49" fontId="7" fillId="33" borderId="12" xfId="1" applyNumberFormat="1" applyFont="1" applyFill="1" applyBorder="1" applyAlignment="1">
      <alignment horizontal="center" vertical="center" wrapText="1"/>
    </xf>
    <xf numFmtId="0" fontId="7" fillId="33" borderId="13" xfId="55" applyFont="1" applyFill="1" applyBorder="1" applyAlignment="1">
      <alignment horizontal="left" vertical="center" wrapText="1"/>
      <protection/>
    </xf>
    <xf numFmtId="49" fontId="7" fillId="33" borderId="14" xfId="1" applyNumberFormat="1" applyFont="1" applyFill="1" applyBorder="1" applyAlignment="1">
      <alignment horizontal="center" vertical="center" wrapText="1"/>
    </xf>
    <xf numFmtId="49" fontId="7" fillId="33" borderId="15" xfId="1" applyNumberFormat="1" applyFont="1" applyFill="1" applyBorder="1" applyAlignment="1">
      <alignment horizontal="left" vertical="center" wrapText="1"/>
    </xf>
    <xf numFmtId="49" fontId="7" fillId="33" borderId="12" xfId="1" applyNumberFormat="1" applyFont="1" applyFill="1" applyBorder="1" applyAlignment="1">
      <alignment horizontal="left" vertical="center" wrapText="1"/>
    </xf>
    <xf numFmtId="49" fontId="7" fillId="33" borderId="13" xfId="1" applyNumberFormat="1" applyFont="1" applyFill="1" applyBorder="1" applyAlignment="1">
      <alignment horizontal="left" vertical="center" wrapText="1"/>
    </xf>
    <xf numFmtId="172" fontId="7" fillId="33" borderId="15" xfId="1" applyNumberFormat="1" applyFont="1" applyFill="1" applyBorder="1" applyAlignment="1">
      <alignment horizontal="left" vertical="center" wrapText="1"/>
    </xf>
    <xf numFmtId="0" fontId="7" fillId="33" borderId="15" xfId="55" applyFont="1" applyFill="1" applyBorder="1" applyAlignment="1">
      <alignment horizontal="left" vertical="center" wrapText="1"/>
      <protection/>
    </xf>
    <xf numFmtId="183" fontId="3" fillId="33" borderId="16" xfId="57" applyNumberFormat="1" applyFont="1" applyFill="1" applyBorder="1" applyAlignment="1">
      <alignment vertical="center"/>
      <protection/>
    </xf>
    <xf numFmtId="183" fontId="7" fillId="33" borderId="17" xfId="0" applyNumberFormat="1" applyFont="1" applyFill="1" applyBorder="1" applyAlignment="1">
      <alignment/>
    </xf>
    <xf numFmtId="183" fontId="7" fillId="33" borderId="18" xfId="0" applyNumberFormat="1" applyFont="1" applyFill="1" applyBorder="1" applyAlignment="1">
      <alignment/>
    </xf>
    <xf numFmtId="183" fontId="7" fillId="33" borderId="18" xfId="42" applyNumberFormat="1" applyFont="1" applyFill="1" applyBorder="1" applyAlignment="1">
      <alignment horizontal="center" vertical="center"/>
    </xf>
    <xf numFmtId="183" fontId="7" fillId="33" borderId="18" xfId="0" applyNumberFormat="1" applyFont="1" applyFill="1" applyBorder="1" applyAlignment="1">
      <alignment horizontal="center" vertical="center" wrapText="1"/>
    </xf>
    <xf numFmtId="183" fontId="7" fillId="33" borderId="19" xfId="0" applyNumberFormat="1" applyFont="1" applyFill="1" applyBorder="1" applyAlignment="1">
      <alignment horizontal="center" vertical="center" wrapText="1"/>
    </xf>
    <xf numFmtId="183" fontId="7" fillId="33" borderId="17" xfId="42" applyNumberFormat="1" applyFont="1" applyFill="1" applyBorder="1" applyAlignment="1">
      <alignment horizontal="center" vertical="center"/>
    </xf>
    <xf numFmtId="183" fontId="7" fillId="33" borderId="18" xfId="42" applyNumberFormat="1" applyFont="1" applyFill="1" applyBorder="1" applyAlignment="1">
      <alignment horizontal="center" vertical="center"/>
    </xf>
    <xf numFmtId="183" fontId="7" fillId="33" borderId="19" xfId="0" applyNumberFormat="1" applyFont="1" applyFill="1" applyBorder="1" applyAlignment="1">
      <alignment/>
    </xf>
    <xf numFmtId="183" fontId="3" fillId="33" borderId="10" xfId="57" applyNumberFormat="1" applyFont="1" applyFill="1" applyBorder="1" applyAlignment="1">
      <alignment vertical="center"/>
      <protection/>
    </xf>
    <xf numFmtId="183" fontId="3" fillId="33" borderId="20" xfId="57" applyNumberFormat="1" applyFont="1" applyFill="1" applyBorder="1" applyAlignment="1">
      <alignment horizontal="center" vertical="center"/>
      <protection/>
    </xf>
    <xf numFmtId="183" fontId="7" fillId="33" borderId="15" xfId="42" applyNumberFormat="1" applyFont="1" applyFill="1" applyBorder="1" applyAlignment="1">
      <alignment horizontal="center" vertical="center"/>
    </xf>
    <xf numFmtId="183" fontId="7" fillId="33" borderId="15" xfId="57" applyNumberFormat="1" applyFont="1" applyFill="1" applyBorder="1" applyAlignment="1">
      <alignment horizontal="center" vertical="center"/>
      <protection/>
    </xf>
    <xf numFmtId="183" fontId="7" fillId="33" borderId="15" xfId="57" applyNumberFormat="1" applyFont="1" applyFill="1" applyBorder="1" applyAlignment="1">
      <alignment horizontal="right" vertical="center"/>
      <protection/>
    </xf>
    <xf numFmtId="183" fontId="7" fillId="33" borderId="15" xfId="0" applyNumberFormat="1" applyFont="1" applyFill="1" applyBorder="1" applyAlignment="1">
      <alignment/>
    </xf>
    <xf numFmtId="183" fontId="7" fillId="33" borderId="15" xfId="42" applyNumberFormat="1" applyFont="1" applyFill="1" applyBorder="1" applyAlignment="1">
      <alignment horizontal="right" vertical="center"/>
    </xf>
    <xf numFmtId="183" fontId="7" fillId="33" borderId="17" xfId="57" applyNumberFormat="1" applyFont="1" applyFill="1" applyBorder="1" applyAlignment="1">
      <alignment horizontal="center" vertical="center"/>
      <protection/>
    </xf>
    <xf numFmtId="183" fontId="7" fillId="33" borderId="10" xfId="42" applyNumberFormat="1" applyFont="1" applyFill="1" applyBorder="1" applyAlignment="1">
      <alignment horizontal="center" vertical="center"/>
    </xf>
    <xf numFmtId="183" fontId="7" fillId="33" borderId="10" xfId="57" applyNumberFormat="1" applyFont="1" applyFill="1" applyBorder="1" applyAlignment="1">
      <alignment horizontal="center" vertical="center"/>
      <protection/>
    </xf>
    <xf numFmtId="183" fontId="7" fillId="33" borderId="10" xfId="0" applyNumberFormat="1" applyFont="1" applyFill="1" applyBorder="1" applyAlignment="1">
      <alignment/>
    </xf>
    <xf numFmtId="183" fontId="7" fillId="33" borderId="10" xfId="57" applyNumberFormat="1" applyFont="1" applyFill="1" applyBorder="1" applyAlignment="1">
      <alignment horizontal="right" vertical="center"/>
      <protection/>
    </xf>
    <xf numFmtId="183" fontId="7" fillId="33" borderId="13" xfId="57" applyNumberFormat="1" applyFont="1" applyFill="1" applyBorder="1" applyAlignment="1">
      <alignment horizontal="center" vertical="center"/>
      <protection/>
    </xf>
    <xf numFmtId="183" fontId="7" fillId="33" borderId="13" xfId="57" applyNumberFormat="1" applyFont="1" applyFill="1" applyBorder="1" applyAlignment="1">
      <alignment horizontal="right" vertical="center"/>
      <protection/>
    </xf>
    <xf numFmtId="183" fontId="3" fillId="33" borderId="21" xfId="57" applyNumberFormat="1" applyFont="1" applyFill="1" applyBorder="1" applyAlignment="1">
      <alignment vertical="center"/>
      <protection/>
    </xf>
    <xf numFmtId="183" fontId="3" fillId="33" borderId="20" xfId="57" applyNumberFormat="1" applyFont="1" applyFill="1" applyBorder="1" applyAlignment="1">
      <alignment vertical="center"/>
      <protection/>
    </xf>
    <xf numFmtId="183" fontId="7" fillId="33" borderId="15" xfId="57" applyNumberFormat="1" applyFont="1" applyFill="1" applyBorder="1" applyAlignment="1">
      <alignment vertical="center"/>
      <protection/>
    </xf>
    <xf numFmtId="183" fontId="7" fillId="33" borderId="15" xfId="42" applyNumberFormat="1" applyFont="1" applyFill="1" applyBorder="1" applyAlignment="1">
      <alignment vertical="center"/>
    </xf>
    <xf numFmtId="183" fontId="7" fillId="33" borderId="10" xfId="57" applyNumberFormat="1" applyFont="1" applyFill="1" applyBorder="1" applyAlignment="1">
      <alignment vertical="center"/>
      <protection/>
    </xf>
    <xf numFmtId="183" fontId="7" fillId="33" borderId="10" xfId="42" applyNumberFormat="1" applyFont="1" applyFill="1" applyBorder="1" applyAlignment="1">
      <alignment vertical="center"/>
    </xf>
    <xf numFmtId="183" fontId="7" fillId="33" borderId="13" xfId="57" applyNumberFormat="1" applyFont="1" applyFill="1" applyBorder="1" applyAlignment="1">
      <alignment vertical="center"/>
      <protection/>
    </xf>
    <xf numFmtId="183" fontId="7" fillId="33" borderId="13" xfId="42" applyNumberFormat="1" applyFont="1" applyFill="1" applyBorder="1" applyAlignment="1">
      <alignment vertical="center"/>
    </xf>
    <xf numFmtId="183" fontId="7" fillId="33" borderId="13" xfId="42" applyNumberFormat="1" applyFont="1" applyFill="1" applyBorder="1" applyAlignment="1">
      <alignment horizontal="center" vertical="center"/>
    </xf>
    <xf numFmtId="183" fontId="3" fillId="33" borderId="22" xfId="57" applyNumberFormat="1" applyFont="1" applyFill="1" applyBorder="1" applyAlignment="1">
      <alignment vertical="center"/>
      <protection/>
    </xf>
    <xf numFmtId="183" fontId="7" fillId="33" borderId="10" xfId="57" applyNumberFormat="1" applyFont="1" applyFill="1" applyBorder="1" applyAlignment="1">
      <alignment vertical="center"/>
      <protection/>
    </xf>
    <xf numFmtId="183" fontId="7" fillId="33" borderId="10" xfId="42" applyNumberFormat="1" applyFont="1" applyFill="1" applyBorder="1" applyAlignment="1">
      <alignment vertical="center"/>
    </xf>
    <xf numFmtId="183" fontId="7" fillId="33" borderId="10" xfId="42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8" xfId="57" applyFont="1" applyFill="1" applyBorder="1" applyAlignment="1">
      <alignment horizontal="center" vertical="center"/>
      <protection/>
    </xf>
    <xf numFmtId="183" fontId="3" fillId="33" borderId="18" xfId="57" applyNumberFormat="1" applyFont="1" applyFill="1" applyBorder="1" applyAlignment="1">
      <alignment vertical="center"/>
      <protection/>
    </xf>
    <xf numFmtId="183" fontId="3" fillId="33" borderId="16" xfId="57" applyNumberFormat="1" applyFont="1" applyFill="1" applyBorder="1" applyAlignment="1">
      <alignment horizontal="center" vertical="center"/>
      <protection/>
    </xf>
    <xf numFmtId="183" fontId="3" fillId="33" borderId="23" xfId="57" applyNumberFormat="1" applyFont="1" applyFill="1" applyBorder="1" applyAlignment="1">
      <alignment vertical="center"/>
      <protection/>
    </xf>
    <xf numFmtId="183" fontId="3" fillId="33" borderId="24" xfId="57" applyNumberFormat="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5" xfId="42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72" fontId="3" fillId="33" borderId="17" xfId="42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ants quartal" xfId="55"/>
    <cellStyle name="Normal_Transfert" xfId="56"/>
    <cellStyle name="Normal_transfert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~1.HAR\AppData\Local\Temp\2014-Transfert-Eramsyak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-eramsyak-2014"/>
      <sheetName val="Transfert-chkapakcvac-2013"/>
      <sheetName val="Sheet1"/>
    </sheetNames>
    <sheetDataSet>
      <sheetData sheetId="0">
        <row r="23">
          <cell r="B23" t="str">
    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="70" zoomScaleNormal="70" zoomScalePageLayoutView="0" workbookViewId="0" topLeftCell="A1">
      <selection activeCell="B1" sqref="B1:O1"/>
    </sheetView>
  </sheetViews>
  <sheetFormatPr defaultColWidth="9.140625" defaultRowHeight="12.75"/>
  <cols>
    <col min="1" max="1" width="5.8515625" style="1" customWidth="1"/>
    <col min="2" max="2" width="133.7109375" style="12" customWidth="1"/>
    <col min="3" max="3" width="23.8515625" style="12" customWidth="1"/>
    <col min="4" max="4" width="24.421875" style="12" bestFit="1" customWidth="1"/>
    <col min="5" max="5" width="23.8515625" style="12" customWidth="1"/>
    <col min="6" max="6" width="22.00390625" style="1" customWidth="1"/>
    <col min="7" max="7" width="22.57421875" style="1" customWidth="1"/>
    <col min="8" max="8" width="20.421875" style="1" bestFit="1" customWidth="1"/>
    <col min="9" max="9" width="22.00390625" style="1" customWidth="1"/>
    <col min="10" max="10" width="27.8515625" style="1" customWidth="1"/>
    <col min="11" max="11" width="21.7109375" style="1" customWidth="1"/>
    <col min="12" max="12" width="22.421875" style="1" bestFit="1" customWidth="1"/>
    <col min="13" max="13" width="21.8515625" style="1" customWidth="1"/>
    <col min="14" max="14" width="23.7109375" style="1" customWidth="1"/>
    <col min="15" max="15" width="22.421875" style="1" bestFit="1" customWidth="1"/>
    <col min="16" max="16" width="22.28125" style="1" bestFit="1" customWidth="1"/>
    <col min="17" max="17" width="21.8515625" style="1" customWidth="1"/>
    <col min="18" max="18" width="14.8515625" style="1" bestFit="1" customWidth="1"/>
    <col min="19" max="19" width="19.57421875" style="1" customWidth="1"/>
    <col min="20" max="16384" width="9.140625" style="1" customWidth="1"/>
  </cols>
  <sheetData>
    <row r="1" spans="1:17" ht="18">
      <c r="A1" s="3" t="s">
        <v>0</v>
      </c>
      <c r="B1" s="86" t="s">
        <v>14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78"/>
      <c r="Q1" s="79"/>
    </row>
    <row r="2" spans="1:17" ht="18">
      <c r="A2" s="3"/>
      <c r="B2" s="86" t="s">
        <v>149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78"/>
      <c r="Q2" s="79"/>
    </row>
    <row r="3" spans="1:17" ht="18">
      <c r="A3" s="3"/>
      <c r="B3" s="78"/>
      <c r="C3" s="78"/>
      <c r="D3" s="4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18.75" thickBot="1">
      <c r="A4" s="3"/>
      <c r="B4" s="3" t="s">
        <v>0</v>
      </c>
      <c r="C4" s="78"/>
      <c r="E4" s="5"/>
      <c r="F4" s="6"/>
      <c r="G4" s="6" t="s">
        <v>0</v>
      </c>
      <c r="H4" s="3"/>
      <c r="I4" s="22"/>
      <c r="J4" s="6"/>
      <c r="K4" s="7"/>
      <c r="L4" s="7"/>
      <c r="M4" s="3"/>
      <c r="N4" s="3"/>
      <c r="O4" s="23"/>
      <c r="P4" s="8"/>
      <c r="Q4" s="80" t="s">
        <v>74</v>
      </c>
    </row>
    <row r="5" spans="1:17" ht="20.25" customHeight="1">
      <c r="A5" s="87" t="s">
        <v>15</v>
      </c>
      <c r="B5" s="88"/>
      <c r="C5" s="91" t="s">
        <v>71</v>
      </c>
      <c r="D5" s="91"/>
      <c r="E5" s="91"/>
      <c r="F5" s="91" t="s">
        <v>16</v>
      </c>
      <c r="G5" s="91"/>
      <c r="H5" s="91"/>
      <c r="I5" s="91" t="s">
        <v>17</v>
      </c>
      <c r="J5" s="91"/>
      <c r="K5" s="91"/>
      <c r="L5" s="91" t="s">
        <v>18</v>
      </c>
      <c r="M5" s="91"/>
      <c r="N5" s="91"/>
      <c r="O5" s="91" t="s">
        <v>19</v>
      </c>
      <c r="P5" s="91"/>
      <c r="Q5" s="96"/>
    </row>
    <row r="6" spans="1:17" ht="15.75" customHeight="1">
      <c r="A6" s="89"/>
      <c r="B6" s="90"/>
      <c r="C6" s="9" t="s">
        <v>20</v>
      </c>
      <c r="D6" s="9" t="s">
        <v>21</v>
      </c>
      <c r="E6" s="9" t="s">
        <v>22</v>
      </c>
      <c r="F6" s="9" t="s">
        <v>20</v>
      </c>
      <c r="G6" s="9" t="s">
        <v>21</v>
      </c>
      <c r="H6" s="9" t="s">
        <v>22</v>
      </c>
      <c r="I6" s="9" t="s">
        <v>20</v>
      </c>
      <c r="J6" s="9" t="s">
        <v>21</v>
      </c>
      <c r="K6" s="9" t="s">
        <v>22</v>
      </c>
      <c r="L6" s="9" t="s">
        <v>20</v>
      </c>
      <c r="M6" s="9" t="s">
        <v>21</v>
      </c>
      <c r="N6" s="9" t="s">
        <v>22</v>
      </c>
      <c r="O6" s="9" t="s">
        <v>20</v>
      </c>
      <c r="P6" s="9" t="s">
        <v>21</v>
      </c>
      <c r="Q6" s="81" t="s">
        <v>22</v>
      </c>
    </row>
    <row r="7" spans="1:17" s="2" customFormat="1" ht="18">
      <c r="A7" s="97" t="s">
        <v>23</v>
      </c>
      <c r="B7" s="98"/>
      <c r="C7" s="51">
        <f>C8+C13</f>
        <v>25646664.6</v>
      </c>
      <c r="D7" s="51">
        <f aca="true" t="shared" si="0" ref="D7:Q7">D8+D13</f>
        <v>38193758.53999999</v>
      </c>
      <c r="E7" s="51">
        <f>E8+E13</f>
        <v>29891115.6338</v>
      </c>
      <c r="F7" s="51">
        <f t="shared" si="0"/>
        <v>4012187.7</v>
      </c>
      <c r="G7" s="51">
        <f t="shared" si="0"/>
        <v>4412398.7</v>
      </c>
      <c r="H7" s="51">
        <f t="shared" si="0"/>
        <v>2697997.29</v>
      </c>
      <c r="I7" s="51">
        <f t="shared" si="0"/>
        <v>4009417.6999999993</v>
      </c>
      <c r="J7" s="51">
        <f t="shared" si="0"/>
        <v>4916606.6</v>
      </c>
      <c r="K7" s="51">
        <f t="shared" si="0"/>
        <v>1445142.989</v>
      </c>
      <c r="L7" s="51">
        <f t="shared" si="0"/>
        <v>4304018.899999999</v>
      </c>
      <c r="M7" s="51">
        <f t="shared" si="0"/>
        <v>12095495.540000001</v>
      </c>
      <c r="N7" s="51">
        <f t="shared" si="0"/>
        <v>10914088.580000002</v>
      </c>
      <c r="O7" s="51">
        <f t="shared" si="0"/>
        <v>13558524.700000001</v>
      </c>
      <c r="P7" s="51">
        <f t="shared" si="0"/>
        <v>16604257.200000003</v>
      </c>
      <c r="Q7" s="82">
        <f t="shared" si="0"/>
        <v>14833886.774799999</v>
      </c>
    </row>
    <row r="8" spans="1:17" s="2" customFormat="1" ht="18.75" thickBot="1">
      <c r="A8" s="99" t="s">
        <v>24</v>
      </c>
      <c r="B8" s="100"/>
      <c r="C8" s="52">
        <f>SUM(C9:C12)</f>
        <v>10279400</v>
      </c>
      <c r="D8" s="52">
        <f aca="true" t="shared" si="1" ref="D8:P8">SUM(D9:D12)</f>
        <v>10279400</v>
      </c>
      <c r="E8" s="52">
        <f>SUM(E9:E12)</f>
        <v>8685916.5008</v>
      </c>
      <c r="F8" s="52">
        <f>SUM(F9:F12)</f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3083761.2</v>
      </c>
      <c r="O8" s="52">
        <f t="shared" si="1"/>
        <v>10279400</v>
      </c>
      <c r="P8" s="52">
        <f t="shared" si="1"/>
        <v>10279400</v>
      </c>
      <c r="Q8" s="83">
        <f>SUM(Q9:Q12)</f>
        <v>5602155.3008</v>
      </c>
    </row>
    <row r="9" spans="1:17" s="18" customFormat="1" ht="81" customHeight="1">
      <c r="A9" s="36" t="s">
        <v>25</v>
      </c>
      <c r="B9" s="37" t="s">
        <v>54</v>
      </c>
      <c r="C9" s="53">
        <f>F9+I9+L9+O9</f>
        <v>2569850</v>
      </c>
      <c r="D9" s="53">
        <f>C9+0</f>
        <v>2569850</v>
      </c>
      <c r="E9" s="54">
        <f>H9+K9+N9+Q9</f>
        <v>0</v>
      </c>
      <c r="F9" s="54"/>
      <c r="G9" s="54"/>
      <c r="H9" s="55"/>
      <c r="I9" s="55"/>
      <c r="J9" s="55"/>
      <c r="K9" s="55"/>
      <c r="L9" s="56"/>
      <c r="M9" s="56"/>
      <c r="N9" s="55"/>
      <c r="O9" s="57">
        <v>2569850</v>
      </c>
      <c r="P9" s="57">
        <f>O9+0</f>
        <v>2569850</v>
      </c>
      <c r="Q9" s="58"/>
    </row>
    <row r="10" spans="1:17" s="18" customFormat="1" ht="77.25" customHeight="1">
      <c r="A10" s="10" t="s">
        <v>26</v>
      </c>
      <c r="B10" s="30" t="s">
        <v>55</v>
      </c>
      <c r="C10" s="59">
        <f>F10+I10+L10+O10</f>
        <v>3597790</v>
      </c>
      <c r="D10" s="59">
        <f>C10+0</f>
        <v>3597790</v>
      </c>
      <c r="E10" s="60">
        <f>H10+K10+N10+Q10</f>
        <v>1978725.6504</v>
      </c>
      <c r="F10" s="61"/>
      <c r="G10" s="61"/>
      <c r="H10" s="62"/>
      <c r="I10" s="62"/>
      <c r="J10" s="62"/>
      <c r="K10" s="62"/>
      <c r="L10" s="62"/>
      <c r="M10" s="62"/>
      <c r="N10" s="62"/>
      <c r="O10" s="59">
        <v>3597790</v>
      </c>
      <c r="P10" s="59">
        <f>O10+0</f>
        <v>3597790</v>
      </c>
      <c r="Q10" s="45">
        <v>1978725.6504</v>
      </c>
    </row>
    <row r="11" spans="1:17" s="18" customFormat="1" ht="81" customHeight="1">
      <c r="A11" s="10" t="s">
        <v>1</v>
      </c>
      <c r="B11" s="30" t="s">
        <v>56</v>
      </c>
      <c r="C11" s="59">
        <f>F11+I11+L11+O11</f>
        <v>4111760</v>
      </c>
      <c r="D11" s="59">
        <f>C11+0</f>
        <v>4111760</v>
      </c>
      <c r="E11" s="60">
        <f>H11+K11+N11+Q11</f>
        <v>3623429.6504</v>
      </c>
      <c r="F11" s="60"/>
      <c r="G11" s="60"/>
      <c r="H11" s="62"/>
      <c r="I11" s="60"/>
      <c r="J11" s="62"/>
      <c r="K11" s="62"/>
      <c r="L11" s="62"/>
      <c r="M11" s="62"/>
      <c r="N11" s="62"/>
      <c r="O11" s="59">
        <v>4111760</v>
      </c>
      <c r="P11" s="59">
        <f>O11+0</f>
        <v>4111760</v>
      </c>
      <c r="Q11" s="45">
        <v>3623429.6504</v>
      </c>
    </row>
    <row r="12" spans="1:17" s="18" customFormat="1" ht="79.5" customHeight="1" thickBot="1">
      <c r="A12" s="38" t="s">
        <v>28</v>
      </c>
      <c r="B12" s="39" t="s">
        <v>110</v>
      </c>
      <c r="C12" s="63">
        <f>F12+I12+L12+O12</f>
        <v>0</v>
      </c>
      <c r="D12" s="63">
        <f>C12+0</f>
        <v>0</v>
      </c>
      <c r="E12" s="63">
        <f>H12+K12+N12+Q12</f>
        <v>3083761.2</v>
      </c>
      <c r="F12" s="63">
        <v>0</v>
      </c>
      <c r="G12" s="63">
        <v>0</v>
      </c>
      <c r="H12" s="64">
        <v>0</v>
      </c>
      <c r="I12" s="63">
        <v>0</v>
      </c>
      <c r="J12" s="64">
        <v>0</v>
      </c>
      <c r="K12" s="64">
        <v>0</v>
      </c>
      <c r="L12" s="64">
        <v>0</v>
      </c>
      <c r="M12" s="64">
        <v>0</v>
      </c>
      <c r="N12" s="64">
        <v>3083761.2</v>
      </c>
      <c r="O12" s="63"/>
      <c r="P12" s="64"/>
      <c r="Q12" s="50"/>
    </row>
    <row r="13" spans="1:17" ht="32.25" customHeight="1">
      <c r="A13" s="94" t="s">
        <v>107</v>
      </c>
      <c r="B13" s="95"/>
      <c r="C13" s="65">
        <f>C14+C65</f>
        <v>15367264.600000001</v>
      </c>
      <c r="D13" s="65">
        <f>D14+D65</f>
        <v>27914358.53999999</v>
      </c>
      <c r="E13" s="65">
        <f>E14+E65</f>
        <v>21205199.133</v>
      </c>
      <c r="F13" s="65">
        <f aca="true" t="shared" si="2" ref="F13:Q13">F14+F65</f>
        <v>4012187.7</v>
      </c>
      <c r="G13" s="65">
        <f t="shared" si="2"/>
        <v>4412398.7</v>
      </c>
      <c r="H13" s="65">
        <f t="shared" si="2"/>
        <v>2697997.29</v>
      </c>
      <c r="I13" s="65">
        <f t="shared" si="2"/>
        <v>4009417.6999999993</v>
      </c>
      <c r="J13" s="65">
        <f t="shared" si="2"/>
        <v>4916606.6</v>
      </c>
      <c r="K13" s="65">
        <f t="shared" si="2"/>
        <v>1445142.989</v>
      </c>
      <c r="L13" s="65">
        <f t="shared" si="2"/>
        <v>4304018.899999999</v>
      </c>
      <c r="M13" s="65">
        <f>M14+M65</f>
        <v>12095495.540000001</v>
      </c>
      <c r="N13" s="65">
        <f t="shared" si="2"/>
        <v>7830327.380000001</v>
      </c>
      <c r="O13" s="65">
        <f t="shared" si="2"/>
        <v>3279124.700000001</v>
      </c>
      <c r="P13" s="65">
        <f t="shared" si="2"/>
        <v>6324857.200000002</v>
      </c>
      <c r="Q13" s="84">
        <f t="shared" si="2"/>
        <v>9231731.474</v>
      </c>
    </row>
    <row r="14" spans="1:17" ht="32.25" customHeight="1" thickBot="1">
      <c r="A14" s="99" t="s">
        <v>27</v>
      </c>
      <c r="B14" s="100"/>
      <c r="C14" s="66">
        <f>SUM(C15:C64)</f>
        <v>14634810.500000002</v>
      </c>
      <c r="D14" s="66">
        <f aca="true" t="shared" si="3" ref="D14:O14">SUM(D15:D64)</f>
        <v>25574378.799999993</v>
      </c>
      <c r="E14" s="66">
        <f t="shared" si="3"/>
        <v>19662576.93</v>
      </c>
      <c r="F14" s="66">
        <f t="shared" si="3"/>
        <v>3829074.2</v>
      </c>
      <c r="G14" s="66">
        <f t="shared" si="3"/>
        <v>4048822.5000000005</v>
      </c>
      <c r="H14" s="66">
        <f t="shared" si="3"/>
        <v>2481122.19</v>
      </c>
      <c r="I14" s="66">
        <f t="shared" si="3"/>
        <v>3826304.1999999993</v>
      </c>
      <c r="J14" s="66">
        <f t="shared" si="3"/>
        <v>4212310.8</v>
      </c>
      <c r="K14" s="66">
        <f t="shared" si="3"/>
        <v>1093893.41</v>
      </c>
      <c r="L14" s="66">
        <f t="shared" si="3"/>
        <v>4120905.3999999994</v>
      </c>
      <c r="M14" s="66">
        <f t="shared" si="3"/>
        <v>11740751.200000001</v>
      </c>
      <c r="N14" s="66">
        <f t="shared" si="3"/>
        <v>7336635.630000001</v>
      </c>
      <c r="O14" s="66">
        <f t="shared" si="3"/>
        <v>3096011.100000001</v>
      </c>
      <c r="P14" s="66">
        <f>SUM(P15:P64)</f>
        <v>5407493.800000002</v>
      </c>
      <c r="Q14" s="42">
        <f>SUM(Q15:Q64)</f>
        <v>8750925.7</v>
      </c>
    </row>
    <row r="15" spans="1:17" ht="54" customHeight="1">
      <c r="A15" s="36" t="s">
        <v>25</v>
      </c>
      <c r="B15" s="40" t="s">
        <v>87</v>
      </c>
      <c r="C15" s="67">
        <f>F15+I15+L15+O15</f>
        <v>3306942.0000000005</v>
      </c>
      <c r="D15" s="67">
        <f>G15+J15+M15+P15</f>
        <v>3306942</v>
      </c>
      <c r="E15" s="67">
        <f>H15+K15+N15+Q15</f>
        <v>3129180.28</v>
      </c>
      <c r="F15" s="68">
        <f>661388.4</f>
        <v>661388.4</v>
      </c>
      <c r="G15" s="53">
        <f aca="true" t="shared" si="4" ref="G15:G47">F15+0</f>
        <v>661388.4</v>
      </c>
      <c r="H15" s="53">
        <v>0</v>
      </c>
      <c r="I15" s="68">
        <f>1322776.8-661388.4</f>
        <v>661388.4</v>
      </c>
      <c r="J15" s="53">
        <f aca="true" t="shared" si="5" ref="J15:J41">I15+0</f>
        <v>661388.4</v>
      </c>
      <c r="K15" s="53">
        <v>0</v>
      </c>
      <c r="L15" s="68">
        <f>2314859.4-1322766.8</f>
        <v>992092.5999999999</v>
      </c>
      <c r="M15" s="53">
        <v>992082.6</v>
      </c>
      <c r="N15" s="53">
        <v>3129180.28</v>
      </c>
      <c r="O15" s="68">
        <f>3306942-L15-I15-F15</f>
        <v>992072.6000000004</v>
      </c>
      <c r="P15" s="53">
        <v>992082.6</v>
      </c>
      <c r="Q15" s="43">
        <v>0</v>
      </c>
    </row>
    <row r="16" spans="1:17" ht="45.75" customHeight="1">
      <c r="A16" s="10" t="s">
        <v>26</v>
      </c>
      <c r="B16" s="31" t="s">
        <v>88</v>
      </c>
      <c r="C16" s="69">
        <f aca="true" t="shared" si="6" ref="C16:C69">F16+I16+L16+O16</f>
        <v>874050.3</v>
      </c>
      <c r="D16" s="69">
        <f>G16+J16+M16+P16</f>
        <v>874050.3</v>
      </c>
      <c r="E16" s="69">
        <f aca="true" t="shared" si="7" ref="E16:E69">H16+K16+N16+Q16</f>
        <v>0</v>
      </c>
      <c r="F16" s="70">
        <v>174810.1</v>
      </c>
      <c r="G16" s="59">
        <f t="shared" si="4"/>
        <v>174810.1</v>
      </c>
      <c r="H16" s="59">
        <v>0</v>
      </c>
      <c r="I16" s="70">
        <f>349620.2-174810.1</f>
        <v>174810.1</v>
      </c>
      <c r="J16" s="59">
        <f t="shared" si="5"/>
        <v>174810.1</v>
      </c>
      <c r="K16" s="59">
        <v>0</v>
      </c>
      <c r="L16" s="70">
        <f>611835.3-349620.2</f>
        <v>262215.10000000003</v>
      </c>
      <c r="M16" s="59">
        <f aca="true" t="shared" si="8" ref="M16:M30">L16+0</f>
        <v>262215.10000000003</v>
      </c>
      <c r="N16" s="59">
        <v>0</v>
      </c>
      <c r="O16" s="70">
        <f>874050.3-L16-I16-F16</f>
        <v>262215</v>
      </c>
      <c r="P16" s="59">
        <f aca="true" t="shared" si="9" ref="P16:P21">O16+0</f>
        <v>262215</v>
      </c>
      <c r="Q16" s="44">
        <v>0</v>
      </c>
    </row>
    <row r="17" spans="1:17" ht="40.5" customHeight="1">
      <c r="A17" s="10" t="s">
        <v>1</v>
      </c>
      <c r="B17" s="31" t="s">
        <v>53</v>
      </c>
      <c r="C17" s="69">
        <f t="shared" si="6"/>
        <v>98217.6</v>
      </c>
      <c r="D17" s="69">
        <f>G17+J17+M17+P17</f>
        <v>98217.6</v>
      </c>
      <c r="E17" s="69">
        <f t="shared" si="7"/>
        <v>104230.23</v>
      </c>
      <c r="F17" s="70">
        <v>24554.4</v>
      </c>
      <c r="G17" s="59">
        <f t="shared" si="4"/>
        <v>24554.4</v>
      </c>
      <c r="H17" s="69">
        <v>27281.94</v>
      </c>
      <c r="I17" s="70">
        <f>49108.8-24554.4</f>
        <v>24554.4</v>
      </c>
      <c r="J17" s="59">
        <f t="shared" si="5"/>
        <v>24554.4</v>
      </c>
      <c r="K17" s="69">
        <v>25797.96</v>
      </c>
      <c r="L17" s="70">
        <f>73663.2-49108.8</f>
        <v>24554.399999999994</v>
      </c>
      <c r="M17" s="59">
        <f t="shared" si="8"/>
        <v>24554.399999999994</v>
      </c>
      <c r="N17" s="59">
        <v>26124.19</v>
      </c>
      <c r="O17" s="70">
        <f>98217.6-L17-I17-F17</f>
        <v>24554.40000000001</v>
      </c>
      <c r="P17" s="59">
        <f t="shared" si="9"/>
        <v>24554.40000000001</v>
      </c>
      <c r="Q17" s="45">
        <v>25026.14</v>
      </c>
    </row>
    <row r="18" spans="1:17" ht="51.75" customHeight="1">
      <c r="A18" s="10" t="s">
        <v>28</v>
      </c>
      <c r="B18" s="32" t="str">
        <f>'[1]Transfert-eramsyak-2014'!$B$23</f>
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</c>
      <c r="C18" s="69">
        <f t="shared" si="6"/>
        <v>116139.8</v>
      </c>
      <c r="D18" s="69">
        <f>G18+J18+M18+P18</f>
        <v>120786.8</v>
      </c>
      <c r="E18" s="69">
        <f t="shared" si="7"/>
        <v>81256.03</v>
      </c>
      <c r="F18" s="70">
        <v>29035</v>
      </c>
      <c r="G18" s="59">
        <f t="shared" si="4"/>
        <v>29035</v>
      </c>
      <c r="H18" s="69">
        <v>26586.09</v>
      </c>
      <c r="I18" s="70">
        <f>87104.8-29035</f>
        <v>58069.8</v>
      </c>
      <c r="J18" s="59">
        <v>62716.8</v>
      </c>
      <c r="K18" s="59">
        <v>0</v>
      </c>
      <c r="L18" s="70">
        <f>110332.8-87104.8</f>
        <v>23228</v>
      </c>
      <c r="M18" s="59">
        <v>23228</v>
      </c>
      <c r="N18" s="59">
        <v>54669.94</v>
      </c>
      <c r="O18" s="70">
        <f>116139.8-L18-I18-F18</f>
        <v>5807</v>
      </c>
      <c r="P18" s="59">
        <f t="shared" si="9"/>
        <v>5807</v>
      </c>
      <c r="Q18" s="45">
        <f>-596.96+596.96</f>
        <v>0</v>
      </c>
    </row>
    <row r="19" spans="1:17" ht="38.25" customHeight="1">
      <c r="A19" s="10" t="s">
        <v>2</v>
      </c>
      <c r="B19" s="32" t="s">
        <v>45</v>
      </c>
      <c r="C19" s="69">
        <f t="shared" si="6"/>
        <v>78501.30000000002</v>
      </c>
      <c r="D19" s="69">
        <f aca="true" t="shared" si="10" ref="D19:D48">G19+J19+M19+P19</f>
        <v>78501.30000000002</v>
      </c>
      <c r="E19" s="69">
        <f t="shared" si="7"/>
        <v>67822.86</v>
      </c>
      <c r="F19" s="70">
        <f>19625.3</f>
        <v>19625.3</v>
      </c>
      <c r="G19" s="59">
        <f t="shared" si="4"/>
        <v>19625.3</v>
      </c>
      <c r="H19" s="69">
        <v>5569.56</v>
      </c>
      <c r="I19" s="70">
        <f>58875.9-19625.3</f>
        <v>39250.600000000006</v>
      </c>
      <c r="J19" s="59">
        <f t="shared" si="5"/>
        <v>39250.600000000006</v>
      </c>
      <c r="K19" s="69">
        <v>62253.3</v>
      </c>
      <c r="L19" s="70">
        <f>74576.2-58875.9</f>
        <v>15700.299999999996</v>
      </c>
      <c r="M19" s="59">
        <v>15700.3</v>
      </c>
      <c r="N19" s="59">
        <v>0</v>
      </c>
      <c r="O19" s="70">
        <f>78501.3-L19-I19-F19</f>
        <v>3925.100000000002</v>
      </c>
      <c r="P19" s="59">
        <f t="shared" si="9"/>
        <v>3925.100000000002</v>
      </c>
      <c r="Q19" s="45">
        <v>0</v>
      </c>
    </row>
    <row r="20" spans="1:17" ht="43.5" customHeight="1">
      <c r="A20" s="10" t="s">
        <v>3</v>
      </c>
      <c r="B20" s="32" t="s">
        <v>46</v>
      </c>
      <c r="C20" s="69">
        <f t="shared" si="6"/>
        <v>120745.9</v>
      </c>
      <c r="D20" s="69">
        <f t="shared" si="10"/>
        <v>157245.9</v>
      </c>
      <c r="E20" s="69">
        <f t="shared" si="7"/>
        <v>135750.03</v>
      </c>
      <c r="F20" s="70">
        <v>30186.4</v>
      </c>
      <c r="G20" s="59">
        <v>66686.4</v>
      </c>
      <c r="H20" s="69">
        <v>66721.7</v>
      </c>
      <c r="I20" s="70">
        <f>90559.4-30186.4</f>
        <v>60372.99999999999</v>
      </c>
      <c r="J20" s="59">
        <f t="shared" si="5"/>
        <v>60372.99999999999</v>
      </c>
      <c r="K20" s="69">
        <v>0</v>
      </c>
      <c r="L20" s="70">
        <f>114708.6-90559.4</f>
        <v>24149.20000000001</v>
      </c>
      <c r="M20" s="59">
        <v>24149.2</v>
      </c>
      <c r="N20" s="59">
        <v>69028.33</v>
      </c>
      <c r="O20" s="70">
        <f>120745.9-L20-I20-F20</f>
        <v>6037.299999999988</v>
      </c>
      <c r="P20" s="59">
        <f t="shared" si="9"/>
        <v>6037.299999999988</v>
      </c>
      <c r="Q20" s="45">
        <f>-1104.4+1104.4</f>
        <v>0</v>
      </c>
    </row>
    <row r="21" spans="1:17" ht="53.25" customHeight="1">
      <c r="A21" s="10" t="s">
        <v>4</v>
      </c>
      <c r="B21" s="32" t="s">
        <v>47</v>
      </c>
      <c r="C21" s="69">
        <f t="shared" si="6"/>
        <v>61590.3</v>
      </c>
      <c r="D21" s="69">
        <f t="shared" si="10"/>
        <v>61590.3</v>
      </c>
      <c r="E21" s="69">
        <f t="shared" si="7"/>
        <v>295505.67000000004</v>
      </c>
      <c r="F21" s="70">
        <v>61590.3</v>
      </c>
      <c r="G21" s="59">
        <f t="shared" si="4"/>
        <v>61590.3</v>
      </c>
      <c r="H21" s="69">
        <v>100718.35</v>
      </c>
      <c r="I21" s="70">
        <f>61590.3-61590.3</f>
        <v>0</v>
      </c>
      <c r="J21" s="59">
        <f t="shared" si="5"/>
        <v>0</v>
      </c>
      <c r="K21" s="69">
        <v>33640.6</v>
      </c>
      <c r="L21" s="70">
        <f>61590.3-61590.3</f>
        <v>0</v>
      </c>
      <c r="M21" s="59">
        <f t="shared" si="8"/>
        <v>0</v>
      </c>
      <c r="N21" s="59">
        <v>136146.72</v>
      </c>
      <c r="O21" s="70">
        <f>61590.3-L21-I21-F21</f>
        <v>0</v>
      </c>
      <c r="P21" s="59">
        <f t="shared" si="9"/>
        <v>0</v>
      </c>
      <c r="Q21" s="45">
        <v>25000</v>
      </c>
    </row>
    <row r="22" spans="1:17" ht="46.5" customHeight="1">
      <c r="A22" s="10" t="s">
        <v>5</v>
      </c>
      <c r="B22" s="32" t="s">
        <v>48</v>
      </c>
      <c r="C22" s="69">
        <f t="shared" si="6"/>
        <v>41126</v>
      </c>
      <c r="D22" s="69">
        <f t="shared" si="10"/>
        <v>65286.8</v>
      </c>
      <c r="E22" s="69">
        <f t="shared" si="7"/>
        <v>75449.92</v>
      </c>
      <c r="F22" s="70">
        <v>10281.5</v>
      </c>
      <c r="G22" s="59">
        <v>34442.3</v>
      </c>
      <c r="H22" s="69">
        <v>40458.4</v>
      </c>
      <c r="I22" s="70">
        <f>20563-10281.5</f>
        <v>10281.5</v>
      </c>
      <c r="J22" s="59">
        <f t="shared" si="5"/>
        <v>10281.5</v>
      </c>
      <c r="K22" s="69">
        <v>0</v>
      </c>
      <c r="L22" s="70">
        <f>30844.5-20563</f>
        <v>10281.5</v>
      </c>
      <c r="M22" s="59">
        <f t="shared" si="8"/>
        <v>10281.5</v>
      </c>
      <c r="N22" s="59">
        <v>34991.52</v>
      </c>
      <c r="O22" s="70">
        <f>41126-L22-I22-F22</f>
        <v>10281.5</v>
      </c>
      <c r="P22" s="59">
        <f aca="true" t="shared" si="11" ref="P22:P41">O22+0</f>
        <v>10281.5</v>
      </c>
      <c r="Q22" s="45">
        <v>0</v>
      </c>
    </row>
    <row r="23" spans="1:17" ht="43.5" customHeight="1">
      <c r="A23" s="10" t="s">
        <v>6</v>
      </c>
      <c r="B23" s="32" t="s">
        <v>49</v>
      </c>
      <c r="C23" s="69">
        <f t="shared" si="6"/>
        <v>98077.30000000002</v>
      </c>
      <c r="D23" s="69">
        <f t="shared" si="10"/>
        <v>98077.6</v>
      </c>
      <c r="E23" s="69">
        <f t="shared" si="7"/>
        <v>111815.2</v>
      </c>
      <c r="F23" s="70">
        <v>24519.4</v>
      </c>
      <c r="G23" s="59">
        <f t="shared" si="4"/>
        <v>24519.4</v>
      </c>
      <c r="H23" s="69">
        <v>23984.12</v>
      </c>
      <c r="I23" s="70">
        <v>24519</v>
      </c>
      <c r="J23" s="59">
        <v>24519.3</v>
      </c>
      <c r="K23" s="69">
        <v>59900.39</v>
      </c>
      <c r="L23" s="70">
        <f>73558-49038.7</f>
        <v>24519.300000000003</v>
      </c>
      <c r="M23" s="59">
        <f t="shared" si="8"/>
        <v>24519.300000000003</v>
      </c>
      <c r="N23" s="59">
        <v>0</v>
      </c>
      <c r="O23" s="70">
        <f>98077.3-L23-I23-F23</f>
        <v>24519.6</v>
      </c>
      <c r="P23" s="59">
        <f t="shared" si="11"/>
        <v>24519.6</v>
      </c>
      <c r="Q23" s="45">
        <v>27930.69</v>
      </c>
    </row>
    <row r="24" spans="1:17" ht="43.5" customHeight="1">
      <c r="A24" s="10" t="s">
        <v>7</v>
      </c>
      <c r="B24" s="32" t="s">
        <v>52</v>
      </c>
      <c r="C24" s="69">
        <f t="shared" si="6"/>
        <v>6580.2</v>
      </c>
      <c r="D24" s="69">
        <f t="shared" si="10"/>
        <v>15196.900000000001</v>
      </c>
      <c r="E24" s="69">
        <f t="shared" si="7"/>
        <v>6657.03</v>
      </c>
      <c r="F24" s="70">
        <f>6580.2</f>
        <v>6580.2</v>
      </c>
      <c r="G24" s="59">
        <f t="shared" si="4"/>
        <v>6580.2</v>
      </c>
      <c r="H24" s="69">
        <v>6657.03</v>
      </c>
      <c r="I24" s="70">
        <f>6580.2-6580.2</f>
        <v>0</v>
      </c>
      <c r="J24" s="59">
        <v>8616.7</v>
      </c>
      <c r="K24" s="69">
        <v>0</v>
      </c>
      <c r="L24" s="70">
        <f>6580.2-6580.2</f>
        <v>0</v>
      </c>
      <c r="M24" s="59">
        <v>0</v>
      </c>
      <c r="N24" s="59">
        <v>0</v>
      </c>
      <c r="O24" s="70">
        <f>6580.2-L24-I24-F24</f>
        <v>0</v>
      </c>
      <c r="P24" s="59">
        <f t="shared" si="11"/>
        <v>0</v>
      </c>
      <c r="Q24" s="45">
        <f>-1817.55+1817.55</f>
        <v>0</v>
      </c>
    </row>
    <row r="25" spans="1:17" ht="43.5" customHeight="1">
      <c r="A25" s="10" t="s">
        <v>8</v>
      </c>
      <c r="B25" s="32" t="s">
        <v>57</v>
      </c>
      <c r="C25" s="69">
        <f t="shared" si="6"/>
        <v>246756</v>
      </c>
      <c r="D25" s="69">
        <f>G25+J25+M25+O25</f>
        <v>172831.6</v>
      </c>
      <c r="E25" s="69">
        <f t="shared" si="7"/>
        <v>47318</v>
      </c>
      <c r="F25" s="70">
        <f>61688.9</f>
        <v>61688.9</v>
      </c>
      <c r="G25" s="59">
        <v>1028.1</v>
      </c>
      <c r="H25" s="69">
        <v>0</v>
      </c>
      <c r="I25" s="70">
        <f>123377.9-61688.9</f>
        <v>61688.99999999999</v>
      </c>
      <c r="J25" s="59">
        <v>48425.3</v>
      </c>
      <c r="K25" s="69">
        <v>47318</v>
      </c>
      <c r="L25" s="70">
        <f>185066.9-123377.9</f>
        <v>61689</v>
      </c>
      <c r="M25" s="59">
        <v>61689.1</v>
      </c>
      <c r="N25" s="59">
        <v>0</v>
      </c>
      <c r="O25" s="59">
        <f>246756-L25-I25-F25</f>
        <v>61689.1</v>
      </c>
      <c r="P25" s="59">
        <f t="shared" si="11"/>
        <v>61689.1</v>
      </c>
      <c r="Q25" s="45">
        <v>0</v>
      </c>
    </row>
    <row r="26" spans="1:17" ht="43.5" customHeight="1">
      <c r="A26" s="10" t="s">
        <v>9</v>
      </c>
      <c r="B26" s="32" t="s">
        <v>86</v>
      </c>
      <c r="C26" s="69">
        <f t="shared" si="6"/>
        <v>32489.5</v>
      </c>
      <c r="D26" s="69">
        <v>217440</v>
      </c>
      <c r="E26" s="69">
        <f>H26+K26+N26+Q26</f>
        <v>221572.61</v>
      </c>
      <c r="F26" s="70">
        <f>8122.4</f>
        <v>8122.4</v>
      </c>
      <c r="G26" s="59">
        <f t="shared" si="4"/>
        <v>8122.4</v>
      </c>
      <c r="H26" s="69">
        <v>47674</v>
      </c>
      <c r="I26" s="70">
        <f>16244.8-8122.4</f>
        <v>8122.4</v>
      </c>
      <c r="J26" s="59">
        <v>97837.6</v>
      </c>
      <c r="K26" s="69">
        <v>0</v>
      </c>
      <c r="L26" s="70">
        <f>24367.2-16244.8</f>
        <v>8122.4000000000015</v>
      </c>
      <c r="M26" s="59">
        <v>82555.2</v>
      </c>
      <c r="N26" s="59">
        <v>81728.31</v>
      </c>
      <c r="O26" s="70">
        <f>32489.5-L26-I26-F26</f>
        <v>8122.299999999999</v>
      </c>
      <c r="P26" s="59">
        <v>28924.8</v>
      </c>
      <c r="Q26" s="45">
        <v>92170.3</v>
      </c>
    </row>
    <row r="27" spans="1:17" ht="43.5" customHeight="1">
      <c r="A27" s="10" t="s">
        <v>10</v>
      </c>
      <c r="B27" s="32" t="s">
        <v>50</v>
      </c>
      <c r="C27" s="69">
        <f t="shared" si="6"/>
        <v>12337.8</v>
      </c>
      <c r="D27" s="69">
        <f t="shared" si="10"/>
        <v>12337.8</v>
      </c>
      <c r="E27" s="69">
        <f t="shared" si="7"/>
        <v>0</v>
      </c>
      <c r="F27" s="70">
        <f>3084.4</f>
        <v>3084.4</v>
      </c>
      <c r="G27" s="59">
        <f t="shared" si="4"/>
        <v>3084.4</v>
      </c>
      <c r="H27" s="69">
        <v>0</v>
      </c>
      <c r="I27" s="70">
        <f>6168.9-3084.4</f>
        <v>3084.4999999999995</v>
      </c>
      <c r="J27" s="59">
        <v>3084.5</v>
      </c>
      <c r="K27" s="69">
        <v>0</v>
      </c>
      <c r="L27" s="70">
        <f>9253.4-6168.9</f>
        <v>3084.5</v>
      </c>
      <c r="M27" s="59">
        <f t="shared" si="8"/>
        <v>3084.5</v>
      </c>
      <c r="N27" s="59">
        <v>0</v>
      </c>
      <c r="O27" s="70">
        <f>12337.8-L27-I27-F27</f>
        <v>3084.399999999999</v>
      </c>
      <c r="P27" s="59">
        <f t="shared" si="11"/>
        <v>3084.399999999999</v>
      </c>
      <c r="Q27" s="45">
        <v>0</v>
      </c>
    </row>
    <row r="28" spans="1:17" ht="43.5" customHeight="1">
      <c r="A28" s="10" t="s">
        <v>11</v>
      </c>
      <c r="B28" s="32" t="s">
        <v>44</v>
      </c>
      <c r="C28" s="69">
        <f t="shared" si="6"/>
        <v>60512.8</v>
      </c>
      <c r="D28" s="69">
        <f>G28+J28+M28+P28</f>
        <v>60512.8</v>
      </c>
      <c r="E28" s="69">
        <f t="shared" si="7"/>
        <v>67739.75</v>
      </c>
      <c r="F28" s="70">
        <f>41680.2</f>
        <v>41680.2</v>
      </c>
      <c r="G28" s="59">
        <f t="shared" si="4"/>
        <v>41680.2</v>
      </c>
      <c r="H28" s="69">
        <v>22041.33</v>
      </c>
      <c r="I28" s="70">
        <f>46759.3-F28</f>
        <v>5079.100000000006</v>
      </c>
      <c r="J28" s="59">
        <f t="shared" si="5"/>
        <v>5079.100000000006</v>
      </c>
      <c r="K28" s="69">
        <v>31641.77</v>
      </c>
      <c r="L28" s="70">
        <f>51837.8-I28-F28</f>
        <v>5078.5</v>
      </c>
      <c r="M28" s="59">
        <f t="shared" si="8"/>
        <v>5078.5</v>
      </c>
      <c r="N28" s="59">
        <v>14056.65</v>
      </c>
      <c r="O28" s="70">
        <f>60512.8-L28-I28-F28</f>
        <v>8675</v>
      </c>
      <c r="P28" s="59">
        <f t="shared" si="11"/>
        <v>8675</v>
      </c>
      <c r="Q28" s="45">
        <v>0</v>
      </c>
    </row>
    <row r="29" spans="1:17" ht="48" customHeight="1">
      <c r="A29" s="10" t="s">
        <v>12</v>
      </c>
      <c r="B29" s="32" t="s">
        <v>75</v>
      </c>
      <c r="C29" s="69">
        <f t="shared" si="6"/>
        <v>82252</v>
      </c>
      <c r="D29" s="69">
        <f t="shared" si="10"/>
        <v>82252</v>
      </c>
      <c r="E29" s="69">
        <f t="shared" si="7"/>
        <v>65129.79</v>
      </c>
      <c r="F29" s="70">
        <v>20563</v>
      </c>
      <c r="G29" s="59">
        <f t="shared" si="4"/>
        <v>20563</v>
      </c>
      <c r="H29" s="69">
        <v>0</v>
      </c>
      <c r="I29" s="70">
        <f>41126-20563</f>
        <v>20563</v>
      </c>
      <c r="J29" s="59">
        <v>20563</v>
      </c>
      <c r="K29" s="69">
        <v>0</v>
      </c>
      <c r="L29" s="70">
        <f>61689-41126</f>
        <v>20563</v>
      </c>
      <c r="M29" s="59">
        <f t="shared" si="8"/>
        <v>20563</v>
      </c>
      <c r="N29" s="59">
        <v>0</v>
      </c>
      <c r="O29" s="70">
        <f>82252-L29-I29-F29</f>
        <v>20563</v>
      </c>
      <c r="P29" s="59">
        <f t="shared" si="11"/>
        <v>20563</v>
      </c>
      <c r="Q29" s="45">
        <v>65129.79</v>
      </c>
    </row>
    <row r="30" spans="1:17" ht="48" customHeight="1">
      <c r="A30" s="10" t="s">
        <v>13</v>
      </c>
      <c r="B30" s="32" t="s">
        <v>58</v>
      </c>
      <c r="C30" s="69">
        <f t="shared" si="6"/>
        <v>137015.4</v>
      </c>
      <c r="D30" s="69">
        <f t="shared" si="10"/>
        <v>137015.4</v>
      </c>
      <c r="E30" s="69">
        <f t="shared" si="7"/>
        <v>153837.82</v>
      </c>
      <c r="F30" s="70">
        <v>12356.9</v>
      </c>
      <c r="G30" s="59">
        <f t="shared" si="4"/>
        <v>12356.9</v>
      </c>
      <c r="H30" s="69">
        <v>29657.13</v>
      </c>
      <c r="I30" s="70">
        <f>76497.4-12356.9</f>
        <v>64140.49999999999</v>
      </c>
      <c r="J30" s="59">
        <f t="shared" si="5"/>
        <v>64140.49999999999</v>
      </c>
      <c r="K30" s="69">
        <v>81917.24</v>
      </c>
      <c r="L30" s="70">
        <f>128778.6-76497.4</f>
        <v>52281.20000000001</v>
      </c>
      <c r="M30" s="59">
        <f t="shared" si="8"/>
        <v>52281.20000000001</v>
      </c>
      <c r="N30" s="59">
        <v>42263.45</v>
      </c>
      <c r="O30" s="70">
        <f>137015.4-L30-I30-F30</f>
        <v>8236.79999999999</v>
      </c>
      <c r="P30" s="59">
        <f t="shared" si="11"/>
        <v>8236.79999999999</v>
      </c>
      <c r="Q30" s="44">
        <v>0</v>
      </c>
    </row>
    <row r="31" spans="1:17" ht="48" customHeight="1">
      <c r="A31" s="10" t="s">
        <v>31</v>
      </c>
      <c r="B31" s="32" t="s">
        <v>37</v>
      </c>
      <c r="C31" s="69">
        <f t="shared" si="6"/>
        <v>269293</v>
      </c>
      <c r="D31" s="69">
        <f t="shared" si="10"/>
        <v>234293</v>
      </c>
      <c r="E31" s="69">
        <f t="shared" si="7"/>
        <v>212324.49</v>
      </c>
      <c r="F31" s="70">
        <v>134646.5</v>
      </c>
      <c r="G31" s="59">
        <v>134646.5</v>
      </c>
      <c r="H31" s="69">
        <v>0</v>
      </c>
      <c r="I31" s="70">
        <f>215434.4-134646.5</f>
        <v>80787.9</v>
      </c>
      <c r="J31" s="59">
        <v>80787.9</v>
      </c>
      <c r="K31" s="69">
        <v>68513.99</v>
      </c>
      <c r="L31" s="70">
        <f>269293-215434.4</f>
        <v>53858.600000000006</v>
      </c>
      <c r="M31" s="59">
        <f>L31+0-35000</f>
        <v>18858.600000000006</v>
      </c>
      <c r="N31" s="59">
        <v>94745</v>
      </c>
      <c r="O31" s="70">
        <f>269293-L31-I31-F31</f>
        <v>0</v>
      </c>
      <c r="P31" s="59">
        <f t="shared" si="11"/>
        <v>0</v>
      </c>
      <c r="Q31" s="45">
        <v>49065.5</v>
      </c>
    </row>
    <row r="32" spans="1:17" ht="48" customHeight="1">
      <c r="A32" s="10" t="s">
        <v>32</v>
      </c>
      <c r="B32" s="32" t="s">
        <v>59</v>
      </c>
      <c r="C32" s="69">
        <f t="shared" si="6"/>
        <v>3587558.4000000004</v>
      </c>
      <c r="D32" s="69">
        <f t="shared" si="10"/>
        <v>3587558.4000000004</v>
      </c>
      <c r="E32" s="69">
        <f t="shared" si="7"/>
        <v>0</v>
      </c>
      <c r="F32" s="70">
        <v>717511.7</v>
      </c>
      <c r="G32" s="59">
        <f t="shared" si="4"/>
        <v>717511.7</v>
      </c>
      <c r="H32" s="69">
        <v>0</v>
      </c>
      <c r="I32" s="70">
        <f>1614401.3-717511.7</f>
        <v>896889.6000000001</v>
      </c>
      <c r="J32" s="59">
        <f t="shared" si="5"/>
        <v>896889.6000000001</v>
      </c>
      <c r="K32" s="69">
        <v>0</v>
      </c>
      <c r="L32" s="70">
        <f>2690668.8-1614401.3</f>
        <v>1076267.4999999998</v>
      </c>
      <c r="M32" s="59">
        <f aca="true" t="shared" si="12" ref="M32:M43">L32+0</f>
        <v>1076267.4999999998</v>
      </c>
      <c r="N32" s="59">
        <v>0</v>
      </c>
      <c r="O32" s="70">
        <f>3587558.4-L32-I32-F32</f>
        <v>896889.6000000003</v>
      </c>
      <c r="P32" s="59">
        <f t="shared" si="11"/>
        <v>896889.6000000003</v>
      </c>
      <c r="Q32" s="45">
        <v>0</v>
      </c>
    </row>
    <row r="33" spans="1:17" ht="45">
      <c r="A33" s="10" t="s">
        <v>33</v>
      </c>
      <c r="B33" s="32" t="s">
        <v>29</v>
      </c>
      <c r="C33" s="69">
        <f t="shared" si="6"/>
        <v>1123819.9</v>
      </c>
      <c r="D33" s="69">
        <f t="shared" si="10"/>
        <v>1123819.9</v>
      </c>
      <c r="E33" s="69">
        <f t="shared" si="7"/>
        <v>1341438.56</v>
      </c>
      <c r="F33" s="70">
        <f>580237</f>
        <v>580237</v>
      </c>
      <c r="G33" s="59">
        <f t="shared" si="4"/>
        <v>580237</v>
      </c>
      <c r="H33" s="59">
        <v>0</v>
      </c>
      <c r="I33" s="70">
        <f>794178.3-580237</f>
        <v>213941.30000000005</v>
      </c>
      <c r="J33" s="59">
        <f t="shared" si="5"/>
        <v>213941.30000000005</v>
      </c>
      <c r="K33" s="69">
        <v>0</v>
      </c>
      <c r="L33" s="70">
        <f>960344.7-794178.3</f>
        <v>166166.3999999999</v>
      </c>
      <c r="M33" s="59">
        <f t="shared" si="12"/>
        <v>166166.3999999999</v>
      </c>
      <c r="N33" s="59">
        <v>1341438.56</v>
      </c>
      <c r="O33" s="70">
        <f>1123819.9-L33-I33-F33</f>
        <v>163475.19999999995</v>
      </c>
      <c r="P33" s="59">
        <f t="shared" si="11"/>
        <v>163475.19999999995</v>
      </c>
      <c r="Q33" s="45">
        <v>0</v>
      </c>
    </row>
    <row r="34" spans="1:17" ht="53.25" customHeight="1">
      <c r="A34" s="10" t="s">
        <v>34</v>
      </c>
      <c r="B34" s="32" t="s">
        <v>60</v>
      </c>
      <c r="C34" s="69">
        <f t="shared" si="6"/>
        <v>1189878.8</v>
      </c>
      <c r="D34" s="69">
        <f t="shared" si="10"/>
        <v>1189878.8</v>
      </c>
      <c r="E34" s="69">
        <f>H34+K34+N34+Q34</f>
        <v>1182041.82</v>
      </c>
      <c r="F34" s="70">
        <v>477651.5</v>
      </c>
      <c r="G34" s="59">
        <f t="shared" si="4"/>
        <v>477651.5</v>
      </c>
      <c r="H34" s="59">
        <v>853886.5</v>
      </c>
      <c r="I34" s="70">
        <f>1189878.8-477651.5</f>
        <v>712227.3</v>
      </c>
      <c r="J34" s="59">
        <f t="shared" si="5"/>
        <v>712227.3</v>
      </c>
      <c r="K34" s="69">
        <v>0</v>
      </c>
      <c r="L34" s="70">
        <f>1189878.8-1189878.8</f>
        <v>0</v>
      </c>
      <c r="M34" s="59">
        <f t="shared" si="12"/>
        <v>0</v>
      </c>
      <c r="N34" s="59">
        <v>328155.32</v>
      </c>
      <c r="O34" s="70">
        <f>1189878.8-I34-F34</f>
        <v>0</v>
      </c>
      <c r="P34" s="59">
        <f t="shared" si="11"/>
        <v>0</v>
      </c>
      <c r="Q34" s="45">
        <v>0</v>
      </c>
    </row>
    <row r="35" spans="1:17" ht="53.25" customHeight="1">
      <c r="A35" s="10" t="s">
        <v>35</v>
      </c>
      <c r="B35" s="32" t="s">
        <v>30</v>
      </c>
      <c r="C35" s="69">
        <f t="shared" si="6"/>
        <v>140491</v>
      </c>
      <c r="D35" s="69">
        <f t="shared" si="10"/>
        <v>140491</v>
      </c>
      <c r="E35" s="69">
        <f t="shared" si="7"/>
        <v>115399.3</v>
      </c>
      <c r="F35" s="70">
        <v>70245.5</v>
      </c>
      <c r="G35" s="59">
        <f t="shared" si="4"/>
        <v>70245.5</v>
      </c>
      <c r="H35" s="59">
        <v>44082</v>
      </c>
      <c r="I35" s="70">
        <f>140491-70245.5</f>
        <v>70245.5</v>
      </c>
      <c r="J35" s="59">
        <f t="shared" si="5"/>
        <v>70245.5</v>
      </c>
      <c r="K35" s="69">
        <v>20914.5</v>
      </c>
      <c r="L35" s="70">
        <f>140491-140491</f>
        <v>0</v>
      </c>
      <c r="M35" s="59">
        <f t="shared" si="12"/>
        <v>0</v>
      </c>
      <c r="N35" s="59">
        <v>0</v>
      </c>
      <c r="O35" s="70">
        <f>140491-I35-F35</f>
        <v>0</v>
      </c>
      <c r="P35" s="59">
        <f t="shared" si="11"/>
        <v>0</v>
      </c>
      <c r="Q35" s="45">
        <v>50402.8</v>
      </c>
    </row>
    <row r="36" spans="1:18" ht="53.25" customHeight="1">
      <c r="A36" s="10" t="s">
        <v>36</v>
      </c>
      <c r="B36" s="32" t="s">
        <v>61</v>
      </c>
      <c r="C36" s="69">
        <f t="shared" si="6"/>
        <v>123378</v>
      </c>
      <c r="D36" s="69">
        <f t="shared" si="10"/>
        <v>59917.6</v>
      </c>
      <c r="E36" s="69">
        <f t="shared" si="7"/>
        <v>1461894.13</v>
      </c>
      <c r="F36" s="70">
        <v>20040</v>
      </c>
      <c r="G36" s="59">
        <f>F36+0</f>
        <v>20040</v>
      </c>
      <c r="H36" s="59">
        <v>0</v>
      </c>
      <c r="I36" s="70">
        <f>55040-20040</f>
        <v>35000</v>
      </c>
      <c r="J36" s="59">
        <f t="shared" si="5"/>
        <v>35000</v>
      </c>
      <c r="K36" s="69"/>
      <c r="L36" s="70">
        <f>87080-55040</f>
        <v>32040</v>
      </c>
      <c r="M36" s="59">
        <v>4877.6</v>
      </c>
      <c r="N36" s="59">
        <v>1461894.13</v>
      </c>
      <c r="O36" s="70">
        <f>123378-L36-I36-F36</f>
        <v>36298</v>
      </c>
      <c r="P36" s="59">
        <v>0</v>
      </c>
      <c r="Q36" s="45">
        <v>0</v>
      </c>
      <c r="R36" s="11"/>
    </row>
    <row r="37" spans="1:17" ht="53.25" customHeight="1">
      <c r="A37" s="10" t="s">
        <v>38</v>
      </c>
      <c r="B37" s="32" t="s">
        <v>62</v>
      </c>
      <c r="C37" s="69">
        <f t="shared" si="6"/>
        <v>1211248.6</v>
      </c>
      <c r="D37" s="69">
        <f t="shared" si="10"/>
        <v>1211248.6</v>
      </c>
      <c r="E37" s="69">
        <f>H37+K37+N37+Q37</f>
        <v>1391897.2799999998</v>
      </c>
      <c r="F37" s="70">
        <v>242249.7</v>
      </c>
      <c r="G37" s="59">
        <f t="shared" si="4"/>
        <v>242249.7</v>
      </c>
      <c r="H37" s="59">
        <v>723464.01</v>
      </c>
      <c r="I37" s="70">
        <f>726749.2-242249.7</f>
        <v>484499.49999999994</v>
      </c>
      <c r="J37" s="59">
        <f t="shared" si="5"/>
        <v>484499.49999999994</v>
      </c>
      <c r="K37" s="69">
        <v>125826.96</v>
      </c>
      <c r="L37" s="70">
        <f>968998.9-726749.2</f>
        <v>242249.70000000007</v>
      </c>
      <c r="M37" s="59">
        <f t="shared" si="12"/>
        <v>242249.70000000007</v>
      </c>
      <c r="N37" s="59">
        <v>256934.15</v>
      </c>
      <c r="O37" s="70">
        <f>1211248.6-L37-I37-F37</f>
        <v>242249.70000000007</v>
      </c>
      <c r="P37" s="59">
        <f t="shared" si="11"/>
        <v>242249.70000000007</v>
      </c>
      <c r="Q37" s="45">
        <v>285672.16</v>
      </c>
    </row>
    <row r="38" spans="1:17" ht="53.25" customHeight="1">
      <c r="A38" s="10" t="s">
        <v>39</v>
      </c>
      <c r="B38" s="32" t="s">
        <v>64</v>
      </c>
      <c r="C38" s="69">
        <f t="shared" si="6"/>
        <v>82252</v>
      </c>
      <c r="D38" s="69">
        <f>G38+J38+M38+P38</f>
        <v>0</v>
      </c>
      <c r="E38" s="69">
        <f t="shared" si="7"/>
        <v>0</v>
      </c>
      <c r="F38" s="70">
        <v>62922</v>
      </c>
      <c r="G38" s="59">
        <f t="shared" si="4"/>
        <v>62922</v>
      </c>
      <c r="H38" s="59">
        <v>0</v>
      </c>
      <c r="I38" s="70">
        <f>70325-62922</f>
        <v>7403</v>
      </c>
      <c r="J38" s="59">
        <f t="shared" si="5"/>
        <v>7403</v>
      </c>
      <c r="K38" s="69">
        <v>0</v>
      </c>
      <c r="L38" s="70">
        <f>76083-70325</f>
        <v>5758</v>
      </c>
      <c r="M38" s="59">
        <v>-70325</v>
      </c>
      <c r="N38" s="59">
        <v>0</v>
      </c>
      <c r="O38" s="70">
        <f>82252-L38-I38-F38</f>
        <v>6169</v>
      </c>
      <c r="P38" s="59">
        <v>0</v>
      </c>
      <c r="Q38" s="45">
        <v>0</v>
      </c>
    </row>
    <row r="39" spans="1:18" ht="53.25" customHeight="1">
      <c r="A39" s="10" t="s">
        <v>40</v>
      </c>
      <c r="B39" s="32" t="s">
        <v>63</v>
      </c>
      <c r="C39" s="69">
        <f t="shared" si="6"/>
        <v>994244</v>
      </c>
      <c r="D39" s="69">
        <f t="shared" si="10"/>
        <v>994244</v>
      </c>
      <c r="E39" s="69">
        <f t="shared" si="7"/>
        <v>0</v>
      </c>
      <c r="F39" s="70">
        <v>0</v>
      </c>
      <c r="G39" s="59">
        <f t="shared" si="4"/>
        <v>0</v>
      </c>
      <c r="H39" s="59">
        <v>0</v>
      </c>
      <c r="I39" s="70">
        <v>0</v>
      </c>
      <c r="J39" s="59">
        <f t="shared" si="5"/>
        <v>0</v>
      </c>
      <c r="K39" s="69"/>
      <c r="L39" s="70">
        <f>795395.2</f>
        <v>795395.2</v>
      </c>
      <c r="M39" s="59">
        <v>154191</v>
      </c>
      <c r="N39" s="59">
        <v>0</v>
      </c>
      <c r="O39" s="70">
        <f>994244-795395.2</f>
        <v>198848.80000000005</v>
      </c>
      <c r="P39" s="59">
        <v>840053</v>
      </c>
      <c r="Q39" s="45">
        <v>0</v>
      </c>
      <c r="R39" s="11"/>
    </row>
    <row r="40" spans="1:17" ht="56.25" customHeight="1">
      <c r="A40" s="10" t="s">
        <v>41</v>
      </c>
      <c r="B40" s="32" t="s">
        <v>65</v>
      </c>
      <c r="C40" s="69">
        <f t="shared" si="6"/>
        <v>162105</v>
      </c>
      <c r="D40" s="69">
        <f t="shared" si="10"/>
        <v>162105</v>
      </c>
      <c r="E40" s="69">
        <f t="shared" si="7"/>
        <v>0</v>
      </c>
      <c r="F40" s="70">
        <v>0</v>
      </c>
      <c r="G40" s="59">
        <f t="shared" si="4"/>
        <v>0</v>
      </c>
      <c r="H40" s="59">
        <v>0</v>
      </c>
      <c r="I40" s="70">
        <v>0</v>
      </c>
      <c r="J40" s="59">
        <f t="shared" si="5"/>
        <v>0</v>
      </c>
      <c r="K40" s="69"/>
      <c r="L40" s="70">
        <f>129684</f>
        <v>129684</v>
      </c>
      <c r="M40" s="59">
        <f t="shared" si="12"/>
        <v>129684</v>
      </c>
      <c r="N40" s="59">
        <v>0</v>
      </c>
      <c r="O40" s="70">
        <f>162105-129684</f>
        <v>32421</v>
      </c>
      <c r="P40" s="59">
        <f t="shared" si="11"/>
        <v>32421</v>
      </c>
      <c r="Q40" s="46">
        <v>0</v>
      </c>
    </row>
    <row r="41" spans="1:17" ht="44.25" customHeight="1">
      <c r="A41" s="10" t="s">
        <v>42</v>
      </c>
      <c r="B41" s="32" t="s">
        <v>66</v>
      </c>
      <c r="C41" s="69">
        <f t="shared" si="6"/>
        <v>126297.9</v>
      </c>
      <c r="D41" s="69">
        <f t="shared" si="10"/>
        <v>126297.9</v>
      </c>
      <c r="E41" s="69">
        <f t="shared" si="7"/>
        <v>122318.59</v>
      </c>
      <c r="F41" s="70">
        <v>33291.6</v>
      </c>
      <c r="G41" s="59">
        <f t="shared" si="4"/>
        <v>33291.6</v>
      </c>
      <c r="H41" s="59">
        <v>15691.43</v>
      </c>
      <c r="I41" s="70">
        <f>79948.9-33291.6</f>
        <v>46657.299999999996</v>
      </c>
      <c r="J41" s="59">
        <f t="shared" si="5"/>
        <v>46657.299999999996</v>
      </c>
      <c r="K41" s="69">
        <v>35239.61</v>
      </c>
      <c r="L41" s="70">
        <f>109148.4-79948.9</f>
        <v>29199.5</v>
      </c>
      <c r="M41" s="59">
        <f t="shared" si="12"/>
        <v>29199.5</v>
      </c>
      <c r="N41" s="59">
        <v>33452.63</v>
      </c>
      <c r="O41" s="70">
        <f>126297.9-L41-I41-F41</f>
        <v>17149.5</v>
      </c>
      <c r="P41" s="59">
        <f t="shared" si="11"/>
        <v>17149.5</v>
      </c>
      <c r="Q41" s="46">
        <v>37934.92</v>
      </c>
    </row>
    <row r="42" spans="1:17" ht="42" customHeight="1">
      <c r="A42" s="10" t="s">
        <v>51</v>
      </c>
      <c r="B42" s="32" t="s">
        <v>67</v>
      </c>
      <c r="C42" s="69">
        <f t="shared" si="6"/>
        <v>240628.2</v>
      </c>
      <c r="D42" s="69">
        <f t="shared" si="10"/>
        <v>226962.2</v>
      </c>
      <c r="E42" s="69">
        <f t="shared" si="7"/>
        <v>158279.03999999998</v>
      </c>
      <c r="F42" s="70">
        <v>60157.1</v>
      </c>
      <c r="G42" s="59">
        <v>47691.1</v>
      </c>
      <c r="H42" s="59">
        <v>86189.4</v>
      </c>
      <c r="I42" s="70">
        <f>120314.2-60157.1</f>
        <v>60157.1</v>
      </c>
      <c r="J42" s="59">
        <v>56386.8</v>
      </c>
      <c r="K42" s="69">
        <v>5491.31</v>
      </c>
      <c r="L42" s="70">
        <f>180471.3-120314.2</f>
        <v>60157.09999999999</v>
      </c>
      <c r="M42" s="59">
        <f t="shared" si="12"/>
        <v>60157.09999999999</v>
      </c>
      <c r="N42" s="59">
        <v>0</v>
      </c>
      <c r="O42" s="70">
        <f>240628.2-L42-I42-F42</f>
        <v>60156.90000000003</v>
      </c>
      <c r="P42" s="59">
        <v>62727.2</v>
      </c>
      <c r="Q42" s="46">
        <v>66598.33</v>
      </c>
    </row>
    <row r="43" spans="1:17" ht="56.25" customHeight="1">
      <c r="A43" s="10" t="s">
        <v>43</v>
      </c>
      <c r="B43" s="32" t="s">
        <v>68</v>
      </c>
      <c r="C43" s="69">
        <f t="shared" si="6"/>
        <v>10281.5</v>
      </c>
      <c r="D43" s="69">
        <f t="shared" si="10"/>
        <v>23947.5</v>
      </c>
      <c r="E43" s="69">
        <f t="shared" si="7"/>
        <v>0</v>
      </c>
      <c r="F43" s="70">
        <v>2570.4</v>
      </c>
      <c r="G43" s="59">
        <v>15036.4</v>
      </c>
      <c r="H43" s="69">
        <v>0</v>
      </c>
      <c r="I43" s="70">
        <f>5140.8-2570.4</f>
        <v>2570.4</v>
      </c>
      <c r="J43" s="59">
        <v>6340.7</v>
      </c>
      <c r="K43" s="69">
        <v>0</v>
      </c>
      <c r="L43" s="70">
        <f>7711.2-5140.8</f>
        <v>2570.3999999999996</v>
      </c>
      <c r="M43" s="59">
        <f t="shared" si="12"/>
        <v>2570.3999999999996</v>
      </c>
      <c r="N43" s="59">
        <v>0</v>
      </c>
      <c r="O43" s="70">
        <f>10281.5-L43-I43-F43</f>
        <v>2570.3000000000006</v>
      </c>
      <c r="P43" s="59">
        <v>0</v>
      </c>
      <c r="Q43" s="46">
        <v>0</v>
      </c>
    </row>
    <row r="44" spans="1:17" ht="56.25" customHeight="1">
      <c r="A44" s="10" t="s">
        <v>84</v>
      </c>
      <c r="B44" s="32" t="s">
        <v>72</v>
      </c>
      <c r="C44" s="69">
        <f t="shared" si="6"/>
        <v>0</v>
      </c>
      <c r="D44" s="69">
        <f t="shared" si="10"/>
        <v>36776.2</v>
      </c>
      <c r="E44" s="69">
        <f t="shared" si="7"/>
        <v>36776.21</v>
      </c>
      <c r="F44" s="70">
        <v>0</v>
      </c>
      <c r="G44" s="59">
        <f t="shared" si="4"/>
        <v>0</v>
      </c>
      <c r="H44" s="69">
        <v>9235.61</v>
      </c>
      <c r="I44" s="70">
        <v>0</v>
      </c>
      <c r="J44" s="59">
        <v>0</v>
      </c>
      <c r="K44" s="69">
        <v>0</v>
      </c>
      <c r="L44" s="70">
        <v>0</v>
      </c>
      <c r="M44" s="59">
        <v>36776.2</v>
      </c>
      <c r="N44" s="59">
        <v>0</v>
      </c>
      <c r="O44" s="70">
        <v>0</v>
      </c>
      <c r="P44" s="59">
        <v>0</v>
      </c>
      <c r="Q44" s="46">
        <v>27540.6</v>
      </c>
    </row>
    <row r="45" spans="1:17" ht="56.25" customHeight="1">
      <c r="A45" s="10" t="s">
        <v>76</v>
      </c>
      <c r="B45" s="32" t="s">
        <v>83</v>
      </c>
      <c r="C45" s="69">
        <f>F45+I45+L45+O45</f>
        <v>0</v>
      </c>
      <c r="D45" s="69">
        <v>165000.5</v>
      </c>
      <c r="E45" s="69">
        <f>H45+K45+N45+Q45</f>
        <v>165000.52999999997</v>
      </c>
      <c r="F45" s="70"/>
      <c r="G45" s="59">
        <v>0</v>
      </c>
      <c r="H45" s="69">
        <v>79940.37</v>
      </c>
      <c r="I45" s="70"/>
      <c r="J45" s="59">
        <v>0</v>
      </c>
      <c r="K45" s="69">
        <v>47021.49</v>
      </c>
      <c r="L45" s="70"/>
      <c r="M45" s="59">
        <v>0</v>
      </c>
      <c r="N45" s="59">
        <v>38038.67</v>
      </c>
      <c r="O45" s="70"/>
      <c r="P45" s="59">
        <v>0</v>
      </c>
      <c r="Q45" s="44">
        <v>0</v>
      </c>
    </row>
    <row r="46" spans="1:17" ht="56.25" customHeight="1">
      <c r="A46" s="10" t="s">
        <v>77</v>
      </c>
      <c r="B46" s="32" t="s">
        <v>82</v>
      </c>
      <c r="C46" s="69">
        <f>F46+I46+L46+O46</f>
        <v>0</v>
      </c>
      <c r="D46" s="69">
        <f t="shared" si="10"/>
        <v>160549.7</v>
      </c>
      <c r="E46" s="69">
        <f>H46+K46+N46+Q46</f>
        <v>160549.74</v>
      </c>
      <c r="F46" s="70">
        <v>0</v>
      </c>
      <c r="G46" s="59">
        <v>160549.7</v>
      </c>
      <c r="H46" s="69">
        <v>160549.74</v>
      </c>
      <c r="I46" s="70">
        <v>0</v>
      </c>
      <c r="J46" s="59">
        <v>0</v>
      </c>
      <c r="K46" s="69">
        <v>0</v>
      </c>
      <c r="L46" s="70"/>
      <c r="M46" s="59">
        <v>0</v>
      </c>
      <c r="N46" s="59">
        <v>0</v>
      </c>
      <c r="O46" s="70"/>
      <c r="P46" s="59">
        <v>0</v>
      </c>
      <c r="Q46" s="44">
        <v>0</v>
      </c>
    </row>
    <row r="47" spans="1:17" ht="56.25" customHeight="1">
      <c r="A47" s="10" t="s">
        <v>78</v>
      </c>
      <c r="B47" s="32" t="s">
        <v>85</v>
      </c>
      <c r="C47" s="69">
        <v>0</v>
      </c>
      <c r="D47" s="69">
        <f t="shared" si="10"/>
        <v>237484.4</v>
      </c>
      <c r="E47" s="69">
        <f t="shared" si="7"/>
        <v>256595.28</v>
      </c>
      <c r="F47" s="70">
        <v>237484.4</v>
      </c>
      <c r="G47" s="59">
        <f t="shared" si="4"/>
        <v>237484.4</v>
      </c>
      <c r="H47" s="69">
        <v>86217.18</v>
      </c>
      <c r="I47" s="70"/>
      <c r="J47" s="59">
        <v>0</v>
      </c>
      <c r="K47" s="69">
        <v>108373.6</v>
      </c>
      <c r="L47" s="70"/>
      <c r="M47" s="59">
        <v>0</v>
      </c>
      <c r="N47" s="59">
        <v>62004.5</v>
      </c>
      <c r="O47" s="70"/>
      <c r="P47" s="59"/>
      <c r="Q47" s="44"/>
    </row>
    <row r="48" spans="1:17" ht="66.75" customHeight="1">
      <c r="A48" s="10" t="s">
        <v>79</v>
      </c>
      <c r="B48" s="32" t="s">
        <v>89</v>
      </c>
      <c r="C48" s="69">
        <f t="shared" si="6"/>
        <v>0</v>
      </c>
      <c r="D48" s="69">
        <f t="shared" si="10"/>
        <v>78550.5</v>
      </c>
      <c r="E48" s="69">
        <f t="shared" si="7"/>
        <v>78550.5</v>
      </c>
      <c r="F48" s="70">
        <v>0</v>
      </c>
      <c r="G48" s="59"/>
      <c r="H48" s="69">
        <v>0</v>
      </c>
      <c r="I48" s="70">
        <v>0</v>
      </c>
      <c r="J48" s="69">
        <v>78550.5</v>
      </c>
      <c r="K48" s="69">
        <v>78550.5</v>
      </c>
      <c r="L48" s="70"/>
      <c r="M48" s="59">
        <v>0</v>
      </c>
      <c r="N48" s="59">
        <v>0</v>
      </c>
      <c r="O48" s="70"/>
      <c r="P48" s="59">
        <v>0</v>
      </c>
      <c r="Q48" s="46">
        <v>0</v>
      </c>
    </row>
    <row r="49" spans="1:17" ht="99.75" customHeight="1">
      <c r="A49" s="10" t="s">
        <v>80</v>
      </c>
      <c r="B49" s="32" t="s">
        <v>92</v>
      </c>
      <c r="C49" s="69">
        <f t="shared" si="6"/>
        <v>0</v>
      </c>
      <c r="D49" s="69">
        <v>48820.7</v>
      </c>
      <c r="E49" s="69">
        <f t="shared" si="7"/>
        <v>33996.5</v>
      </c>
      <c r="F49" s="70">
        <v>0</v>
      </c>
      <c r="G49" s="59">
        <v>19870.3</v>
      </c>
      <c r="H49" s="69">
        <v>0</v>
      </c>
      <c r="I49" s="70"/>
      <c r="J49" s="59">
        <v>28950.4</v>
      </c>
      <c r="K49" s="69">
        <v>14378</v>
      </c>
      <c r="L49" s="70"/>
      <c r="M49" s="59">
        <v>0</v>
      </c>
      <c r="N49" s="59">
        <v>0</v>
      </c>
      <c r="O49" s="70">
        <v>0</v>
      </c>
      <c r="P49" s="59">
        <v>0</v>
      </c>
      <c r="Q49" s="46">
        <v>19618.5</v>
      </c>
    </row>
    <row r="50" spans="1:17" ht="66.75" customHeight="1">
      <c r="A50" s="10" t="s">
        <v>81</v>
      </c>
      <c r="B50" s="32" t="s">
        <v>104</v>
      </c>
      <c r="C50" s="69">
        <f t="shared" si="6"/>
        <v>0</v>
      </c>
      <c r="D50" s="69">
        <f aca="true" t="shared" si="13" ref="D50:D69">G50+J50+M50+P50</f>
        <v>13800.9</v>
      </c>
      <c r="E50" s="69">
        <f>H50+K50+N50+Q50</f>
        <v>13800.85</v>
      </c>
      <c r="F50" s="70">
        <v>0</v>
      </c>
      <c r="G50" s="59">
        <v>0</v>
      </c>
      <c r="H50" s="69">
        <v>0</v>
      </c>
      <c r="I50" s="70">
        <v>0</v>
      </c>
      <c r="J50" s="59">
        <v>13800.9</v>
      </c>
      <c r="K50" s="69">
        <v>13800.85</v>
      </c>
      <c r="L50" s="70">
        <v>0</v>
      </c>
      <c r="M50" s="59">
        <v>0</v>
      </c>
      <c r="N50" s="59">
        <v>0</v>
      </c>
      <c r="O50" s="70">
        <v>0</v>
      </c>
      <c r="P50" s="59">
        <v>0</v>
      </c>
      <c r="Q50" s="46">
        <v>0</v>
      </c>
    </row>
    <row r="51" spans="1:17" ht="66.75" customHeight="1">
      <c r="A51" s="10" t="s">
        <v>90</v>
      </c>
      <c r="B51" s="32" t="s">
        <v>112</v>
      </c>
      <c r="C51" s="69">
        <f t="shared" si="6"/>
        <v>0</v>
      </c>
      <c r="D51" s="69">
        <f t="shared" si="13"/>
        <v>227957.3</v>
      </c>
      <c r="E51" s="69">
        <f t="shared" si="7"/>
        <v>421178.8</v>
      </c>
      <c r="F51" s="70"/>
      <c r="G51" s="59"/>
      <c r="H51" s="69"/>
      <c r="I51" s="70"/>
      <c r="J51" s="59"/>
      <c r="K51" s="69"/>
      <c r="L51" s="70"/>
      <c r="M51" s="59">
        <v>56776.4</v>
      </c>
      <c r="N51" s="59">
        <v>0</v>
      </c>
      <c r="O51" s="70"/>
      <c r="P51" s="59">
        <v>171180.9</v>
      </c>
      <c r="Q51" s="46">
        <v>421178.8</v>
      </c>
    </row>
    <row r="52" spans="1:17" ht="66.75" customHeight="1">
      <c r="A52" s="10" t="s">
        <v>91</v>
      </c>
      <c r="B52" s="32" t="s">
        <v>114</v>
      </c>
      <c r="C52" s="69">
        <f t="shared" si="6"/>
        <v>0</v>
      </c>
      <c r="D52" s="69">
        <f t="shared" si="13"/>
        <v>80771.9</v>
      </c>
      <c r="E52" s="69">
        <f t="shared" si="7"/>
        <v>80771.94</v>
      </c>
      <c r="F52" s="70">
        <v>0</v>
      </c>
      <c r="G52" s="59">
        <v>0</v>
      </c>
      <c r="H52" s="69">
        <v>0</v>
      </c>
      <c r="I52" s="70">
        <v>0</v>
      </c>
      <c r="J52" s="59">
        <v>0</v>
      </c>
      <c r="K52" s="69">
        <v>0</v>
      </c>
      <c r="L52" s="70">
        <v>0</v>
      </c>
      <c r="M52" s="59">
        <v>80771.9</v>
      </c>
      <c r="N52" s="59">
        <v>80771.94</v>
      </c>
      <c r="O52" s="70"/>
      <c r="P52" s="59">
        <v>0</v>
      </c>
      <c r="Q52" s="46">
        <v>0</v>
      </c>
    </row>
    <row r="53" spans="1:17" ht="66.75" customHeight="1">
      <c r="A53" s="10" t="s">
        <v>94</v>
      </c>
      <c r="B53" s="32" t="s">
        <v>116</v>
      </c>
      <c r="C53" s="69">
        <f t="shared" si="6"/>
        <v>0</v>
      </c>
      <c r="D53" s="69">
        <f t="shared" si="13"/>
        <v>76284</v>
      </c>
      <c r="E53" s="69">
        <f t="shared" si="7"/>
        <v>100080.17</v>
      </c>
      <c r="F53" s="70">
        <v>0</v>
      </c>
      <c r="G53" s="59">
        <v>0</v>
      </c>
      <c r="H53" s="69">
        <v>0</v>
      </c>
      <c r="I53" s="70">
        <v>0</v>
      </c>
      <c r="J53" s="59">
        <v>0</v>
      </c>
      <c r="K53" s="69">
        <v>0</v>
      </c>
      <c r="L53" s="70">
        <v>0</v>
      </c>
      <c r="M53" s="59">
        <v>73083</v>
      </c>
      <c r="N53" s="59">
        <v>0</v>
      </c>
      <c r="O53" s="70"/>
      <c r="P53" s="59">
        <v>3201</v>
      </c>
      <c r="Q53" s="46">
        <v>100080.17</v>
      </c>
    </row>
    <row r="54" spans="1:17" ht="66.75" customHeight="1">
      <c r="A54" s="10" t="s">
        <v>96</v>
      </c>
      <c r="B54" s="32" t="s">
        <v>119</v>
      </c>
      <c r="C54" s="69">
        <f t="shared" si="6"/>
        <v>0</v>
      </c>
      <c r="D54" s="69">
        <f t="shared" si="13"/>
        <v>493000</v>
      </c>
      <c r="E54" s="69">
        <f t="shared" si="7"/>
        <v>622860.3</v>
      </c>
      <c r="F54" s="70">
        <v>0</v>
      </c>
      <c r="G54" s="59">
        <v>0</v>
      </c>
      <c r="H54" s="69">
        <v>0</v>
      </c>
      <c r="I54" s="70">
        <v>0</v>
      </c>
      <c r="J54" s="59">
        <v>0</v>
      </c>
      <c r="K54" s="69">
        <v>0</v>
      </c>
      <c r="L54" s="70">
        <v>0</v>
      </c>
      <c r="M54" s="59">
        <v>257600</v>
      </c>
      <c r="N54" s="59">
        <v>0</v>
      </c>
      <c r="O54" s="70"/>
      <c r="P54" s="59">
        <v>235400</v>
      </c>
      <c r="Q54" s="46">
        <v>622860.3</v>
      </c>
    </row>
    <row r="55" spans="1:17" ht="66.75" customHeight="1">
      <c r="A55" s="10" t="s">
        <v>98</v>
      </c>
      <c r="B55" s="32" t="s">
        <v>118</v>
      </c>
      <c r="C55" s="69">
        <f t="shared" si="6"/>
        <v>0</v>
      </c>
      <c r="D55" s="69">
        <f t="shared" si="13"/>
        <v>101484</v>
      </c>
      <c r="E55" s="69">
        <f t="shared" si="7"/>
        <v>142896</v>
      </c>
      <c r="F55" s="70">
        <v>0</v>
      </c>
      <c r="G55" s="59">
        <v>0</v>
      </c>
      <c r="H55" s="69">
        <v>0</v>
      </c>
      <c r="I55" s="70">
        <v>0</v>
      </c>
      <c r="J55" s="59">
        <v>0</v>
      </c>
      <c r="K55" s="69">
        <v>0</v>
      </c>
      <c r="L55" s="70">
        <v>0</v>
      </c>
      <c r="M55" s="59">
        <v>42077.6</v>
      </c>
      <c r="N55" s="59">
        <v>0</v>
      </c>
      <c r="O55" s="70"/>
      <c r="P55" s="59">
        <v>59406.4</v>
      </c>
      <c r="Q55" s="46">
        <v>142896</v>
      </c>
    </row>
    <row r="56" spans="1:17" ht="66.75" customHeight="1">
      <c r="A56" s="10" t="s">
        <v>99</v>
      </c>
      <c r="B56" s="32" t="s">
        <v>120</v>
      </c>
      <c r="C56" s="69">
        <f t="shared" si="6"/>
        <v>0</v>
      </c>
      <c r="D56" s="69">
        <f t="shared" si="13"/>
        <v>2786098</v>
      </c>
      <c r="E56" s="69">
        <f t="shared" si="7"/>
        <v>0</v>
      </c>
      <c r="F56" s="70">
        <v>0</v>
      </c>
      <c r="G56" s="59">
        <v>0</v>
      </c>
      <c r="H56" s="69">
        <v>0</v>
      </c>
      <c r="I56" s="70">
        <v>0</v>
      </c>
      <c r="J56" s="59">
        <v>0</v>
      </c>
      <c r="K56" s="69">
        <v>0</v>
      </c>
      <c r="L56" s="70">
        <v>0</v>
      </c>
      <c r="M56" s="59">
        <v>1652770</v>
      </c>
      <c r="N56" s="59">
        <v>0</v>
      </c>
      <c r="O56" s="70"/>
      <c r="P56" s="59">
        <v>1133328</v>
      </c>
      <c r="Q56" s="46">
        <v>0</v>
      </c>
    </row>
    <row r="57" spans="1:17" ht="66.75" customHeight="1">
      <c r="A57" s="10" t="s">
        <v>102</v>
      </c>
      <c r="B57" s="32" t="s">
        <v>123</v>
      </c>
      <c r="C57" s="69">
        <f t="shared" si="6"/>
        <v>0</v>
      </c>
      <c r="D57" s="69">
        <f t="shared" si="13"/>
        <v>147997</v>
      </c>
      <c r="E57" s="69">
        <f t="shared" si="7"/>
        <v>22194</v>
      </c>
      <c r="F57" s="70">
        <v>0</v>
      </c>
      <c r="G57" s="59">
        <v>0</v>
      </c>
      <c r="H57" s="69">
        <v>0</v>
      </c>
      <c r="I57" s="70">
        <v>0</v>
      </c>
      <c r="J57" s="59">
        <v>110998</v>
      </c>
      <c r="K57" s="69">
        <v>22194</v>
      </c>
      <c r="L57" s="70">
        <v>0</v>
      </c>
      <c r="M57" s="59">
        <v>22200</v>
      </c>
      <c r="N57" s="59">
        <v>0</v>
      </c>
      <c r="O57" s="70"/>
      <c r="P57" s="59">
        <v>14799</v>
      </c>
      <c r="Q57" s="46">
        <v>0</v>
      </c>
    </row>
    <row r="58" spans="1:17" ht="79.5" customHeight="1">
      <c r="A58" s="10" t="s">
        <v>103</v>
      </c>
      <c r="B58" s="32" t="s">
        <v>127</v>
      </c>
      <c r="C58" s="69">
        <f aca="true" t="shared" si="14" ref="C58:E60">F58+I58+L58+O58</f>
        <v>0</v>
      </c>
      <c r="D58" s="69">
        <f t="shared" si="14"/>
        <v>114673.4</v>
      </c>
      <c r="E58" s="69">
        <f t="shared" si="14"/>
        <v>86185.64</v>
      </c>
      <c r="F58" s="70">
        <v>0</v>
      </c>
      <c r="G58" s="59">
        <v>16218.7</v>
      </c>
      <c r="H58" s="69">
        <v>0</v>
      </c>
      <c r="I58" s="70">
        <v>0</v>
      </c>
      <c r="J58" s="59">
        <v>32437.6</v>
      </c>
      <c r="K58" s="69">
        <v>0</v>
      </c>
      <c r="L58" s="70">
        <v>0</v>
      </c>
      <c r="M58" s="59">
        <v>44465.7</v>
      </c>
      <c r="N58" s="59">
        <v>51011.34</v>
      </c>
      <c r="O58" s="70"/>
      <c r="P58" s="59">
        <v>21551.4</v>
      </c>
      <c r="Q58" s="46">
        <v>35174.3</v>
      </c>
    </row>
    <row r="59" spans="1:17" ht="66.75" customHeight="1">
      <c r="A59" s="10" t="s">
        <v>105</v>
      </c>
      <c r="B59" s="32" t="s">
        <v>124</v>
      </c>
      <c r="C59" s="69">
        <f t="shared" si="14"/>
        <v>0</v>
      </c>
      <c r="D59" s="69">
        <f t="shared" si="14"/>
        <v>7918.9</v>
      </c>
      <c r="E59" s="69">
        <f t="shared" si="14"/>
        <v>8141.49</v>
      </c>
      <c r="F59" s="70"/>
      <c r="G59" s="59">
        <v>0</v>
      </c>
      <c r="H59" s="69">
        <v>0</v>
      </c>
      <c r="I59" s="70"/>
      <c r="J59" s="59">
        <v>4093.6</v>
      </c>
      <c r="K59" s="69">
        <v>8141.49</v>
      </c>
      <c r="L59" s="70">
        <v>0</v>
      </c>
      <c r="M59" s="59">
        <v>3825.3</v>
      </c>
      <c r="N59" s="59">
        <v>0</v>
      </c>
      <c r="O59" s="70"/>
      <c r="P59" s="59">
        <v>0</v>
      </c>
      <c r="Q59" s="46">
        <v>0</v>
      </c>
    </row>
    <row r="60" spans="1:17" ht="66.75" customHeight="1">
      <c r="A60" s="10" t="s">
        <v>111</v>
      </c>
      <c r="B60" s="32" t="s">
        <v>126</v>
      </c>
      <c r="C60" s="69">
        <f t="shared" si="14"/>
        <v>0</v>
      </c>
      <c r="D60" s="69">
        <f t="shared" si="14"/>
        <v>51646.7</v>
      </c>
      <c r="E60" s="69">
        <f t="shared" si="14"/>
        <v>24516.3</v>
      </c>
      <c r="F60" s="70">
        <v>0</v>
      </c>
      <c r="G60" s="59">
        <v>23109.6</v>
      </c>
      <c r="H60" s="69">
        <v>24516.3</v>
      </c>
      <c r="I60" s="70">
        <v>0</v>
      </c>
      <c r="J60" s="59">
        <v>26172.1</v>
      </c>
      <c r="K60" s="69">
        <v>0</v>
      </c>
      <c r="L60" s="70">
        <v>0</v>
      </c>
      <c r="M60" s="59">
        <v>1000</v>
      </c>
      <c r="N60" s="59">
        <v>0</v>
      </c>
      <c r="O60" s="70"/>
      <c r="P60" s="59">
        <v>1365</v>
      </c>
      <c r="Q60" s="46">
        <v>0</v>
      </c>
    </row>
    <row r="61" spans="1:17" ht="66.75" customHeight="1">
      <c r="A61" s="10" t="s">
        <v>113</v>
      </c>
      <c r="B61" s="32" t="s">
        <v>121</v>
      </c>
      <c r="C61" s="69">
        <f t="shared" si="6"/>
        <v>0</v>
      </c>
      <c r="D61" s="69">
        <f t="shared" si="13"/>
        <v>22871.2</v>
      </c>
      <c r="E61" s="69">
        <f t="shared" si="7"/>
        <v>16633.670000000002</v>
      </c>
      <c r="F61" s="70">
        <v>0</v>
      </c>
      <c r="G61" s="59">
        <v>0</v>
      </c>
      <c r="H61" s="69">
        <v>0</v>
      </c>
      <c r="I61" s="70">
        <v>0</v>
      </c>
      <c r="J61" s="59">
        <v>1288</v>
      </c>
      <c r="K61" s="69">
        <v>9453.87</v>
      </c>
      <c r="L61" s="70">
        <v>0</v>
      </c>
      <c r="M61" s="59">
        <v>9071.2</v>
      </c>
      <c r="N61" s="59">
        <v>0</v>
      </c>
      <c r="O61" s="70"/>
      <c r="P61" s="59">
        <v>12512</v>
      </c>
      <c r="Q61" s="46">
        <v>7179.8</v>
      </c>
    </row>
    <row r="62" spans="1:17" ht="66.75" customHeight="1">
      <c r="A62" s="10" t="s">
        <v>115</v>
      </c>
      <c r="B62" s="32" t="s">
        <v>128</v>
      </c>
      <c r="C62" s="69">
        <f>F62+I62+L62+O62</f>
        <v>0</v>
      </c>
      <c r="D62" s="69">
        <f t="shared" si="13"/>
        <v>6044455.2</v>
      </c>
      <c r="E62" s="69">
        <f t="shared" si="7"/>
        <v>6638842.1</v>
      </c>
      <c r="F62" s="70">
        <v>0</v>
      </c>
      <c r="G62" s="59">
        <v>0</v>
      </c>
      <c r="H62" s="69">
        <v>0</v>
      </c>
      <c r="I62" s="70">
        <v>0</v>
      </c>
      <c r="J62" s="59">
        <v>0</v>
      </c>
      <c r="K62" s="69">
        <v>0</v>
      </c>
      <c r="L62" s="70">
        <v>0</v>
      </c>
      <c r="M62" s="59">
        <v>6044455.2</v>
      </c>
      <c r="N62" s="59">
        <v>0</v>
      </c>
      <c r="O62" s="70"/>
      <c r="P62" s="59">
        <v>0</v>
      </c>
      <c r="Q62" s="46">
        <v>6638842.1</v>
      </c>
    </row>
    <row r="63" spans="1:17" ht="66.75" customHeight="1">
      <c r="A63" s="10" t="s">
        <v>117</v>
      </c>
      <c r="B63" s="32" t="s">
        <v>73</v>
      </c>
      <c r="C63" s="69">
        <f>F63+I63+L63+O63</f>
        <v>0</v>
      </c>
      <c r="D63" s="69">
        <f>G63+J63+M63+P63</f>
        <v>35960.4</v>
      </c>
      <c r="E63" s="69">
        <f>H63+K63+N63+Q63</f>
        <v>193523.98</v>
      </c>
      <c r="F63" s="70"/>
      <c r="G63" s="59">
        <v>0</v>
      </c>
      <c r="H63" s="69">
        <v>0</v>
      </c>
      <c r="I63" s="70"/>
      <c r="J63" s="59">
        <v>0</v>
      </c>
      <c r="K63" s="69">
        <v>193523.98</v>
      </c>
      <c r="L63" s="70"/>
      <c r="M63" s="59">
        <v>0</v>
      </c>
      <c r="N63" s="59">
        <v>0</v>
      </c>
      <c r="O63" s="70"/>
      <c r="P63" s="59">
        <v>35960.4</v>
      </c>
      <c r="Q63" s="46">
        <v>0</v>
      </c>
    </row>
    <row r="64" spans="1:17" ht="66.75" customHeight="1" thickBot="1">
      <c r="A64" s="34" t="s">
        <v>150</v>
      </c>
      <c r="B64" s="35" t="s">
        <v>151</v>
      </c>
      <c r="C64" s="71">
        <f>F64+I64+L64+O64</f>
        <v>0</v>
      </c>
      <c r="D64" s="71">
        <f>G64+J64+M64+P64</f>
        <v>3228.9</v>
      </c>
      <c r="E64" s="71">
        <f>H64+K64+N64+Q64</f>
        <v>10624.5</v>
      </c>
      <c r="F64" s="72">
        <v>0</v>
      </c>
      <c r="G64" s="73"/>
      <c r="H64" s="71"/>
      <c r="I64" s="72"/>
      <c r="J64" s="73"/>
      <c r="K64" s="71"/>
      <c r="L64" s="72"/>
      <c r="M64" s="73"/>
      <c r="N64" s="73"/>
      <c r="O64" s="72">
        <v>0</v>
      </c>
      <c r="P64" s="73">
        <v>3228.9</v>
      </c>
      <c r="Q64" s="47">
        <v>10624.5</v>
      </c>
    </row>
    <row r="65" spans="1:17" ht="32.25" customHeight="1" thickBot="1">
      <c r="A65" s="92" t="s">
        <v>106</v>
      </c>
      <c r="B65" s="93"/>
      <c r="C65" s="74">
        <f aca="true" t="shared" si="15" ref="C65:Q65">SUM(C66:C79)</f>
        <v>732454.1</v>
      </c>
      <c r="D65" s="74">
        <f>SUM(D66:D79)</f>
        <v>2339979.7399999993</v>
      </c>
      <c r="E65" s="74">
        <f t="shared" si="15"/>
        <v>1542622.2029999997</v>
      </c>
      <c r="F65" s="74">
        <f t="shared" si="15"/>
        <v>183113.5</v>
      </c>
      <c r="G65" s="74">
        <f t="shared" si="15"/>
        <v>363576.2</v>
      </c>
      <c r="H65" s="74">
        <f t="shared" si="15"/>
        <v>216875.09999999998</v>
      </c>
      <c r="I65" s="74">
        <f t="shared" si="15"/>
        <v>183113.5</v>
      </c>
      <c r="J65" s="74">
        <f t="shared" si="15"/>
        <v>704295.7999999999</v>
      </c>
      <c r="K65" s="74">
        <f t="shared" si="15"/>
        <v>351249.579</v>
      </c>
      <c r="L65" s="74">
        <f t="shared" si="15"/>
        <v>183113.5</v>
      </c>
      <c r="M65" s="74">
        <f t="shared" si="15"/>
        <v>354744.34</v>
      </c>
      <c r="N65" s="74">
        <f t="shared" si="15"/>
        <v>493691.75</v>
      </c>
      <c r="O65" s="74">
        <f t="shared" si="15"/>
        <v>183113.59999999998</v>
      </c>
      <c r="P65" s="74">
        <f t="shared" si="15"/>
        <v>917363.4</v>
      </c>
      <c r="Q65" s="85">
        <f t="shared" si="15"/>
        <v>480805.77400000003</v>
      </c>
    </row>
    <row r="66" spans="1:18" ht="66.75" customHeight="1">
      <c r="A66" s="36" t="s">
        <v>25</v>
      </c>
      <c r="B66" s="41" t="s">
        <v>108</v>
      </c>
      <c r="C66" s="67">
        <f t="shared" si="6"/>
        <v>0</v>
      </c>
      <c r="D66" s="67">
        <f t="shared" si="13"/>
        <v>94570.5</v>
      </c>
      <c r="E66" s="67">
        <f t="shared" si="7"/>
        <v>92854.214</v>
      </c>
      <c r="F66" s="68">
        <v>0</v>
      </c>
      <c r="G66" s="53">
        <v>0</v>
      </c>
      <c r="H66" s="67">
        <v>0</v>
      </c>
      <c r="I66" s="68">
        <v>0</v>
      </c>
      <c r="J66" s="53">
        <v>94570.5</v>
      </c>
      <c r="K66" s="67">
        <v>0</v>
      </c>
      <c r="L66" s="68">
        <v>0</v>
      </c>
      <c r="M66" s="53">
        <v>0</v>
      </c>
      <c r="N66" s="53">
        <v>0</v>
      </c>
      <c r="O66" s="68"/>
      <c r="P66" s="53">
        <v>0</v>
      </c>
      <c r="Q66" s="48">
        <v>92854.214</v>
      </c>
      <c r="R66" s="19"/>
    </row>
    <row r="67" spans="1:17" ht="66.75" customHeight="1">
      <c r="A67" s="10" t="s">
        <v>26</v>
      </c>
      <c r="B67" s="32" t="s">
        <v>109</v>
      </c>
      <c r="C67" s="69">
        <f t="shared" si="6"/>
        <v>0</v>
      </c>
      <c r="D67" s="69">
        <f>G67+J67+M67+P67</f>
        <v>700529.1</v>
      </c>
      <c r="E67" s="69">
        <f>H67+K67+N67+Q67</f>
        <v>704997.079</v>
      </c>
      <c r="F67" s="70">
        <v>0</v>
      </c>
      <c r="G67" s="59">
        <v>0</v>
      </c>
      <c r="H67" s="69">
        <v>0</v>
      </c>
      <c r="I67" s="70"/>
      <c r="J67" s="59">
        <v>293300.7</v>
      </c>
      <c r="K67" s="69">
        <v>255629.579</v>
      </c>
      <c r="L67" s="70"/>
      <c r="M67" s="59">
        <v>0</v>
      </c>
      <c r="N67" s="59">
        <f>700529.1-255629.6</f>
        <v>444899.5</v>
      </c>
      <c r="O67" s="70"/>
      <c r="P67" s="59">
        <f>700529.1-J67</f>
        <v>407228.39999999997</v>
      </c>
      <c r="Q67" s="45">
        <f>4468</f>
        <v>4468</v>
      </c>
    </row>
    <row r="68" spans="1:17" ht="66.75" customHeight="1">
      <c r="A68" s="10" t="s">
        <v>1</v>
      </c>
      <c r="B68" s="32" t="s">
        <v>148</v>
      </c>
      <c r="C68" s="69">
        <f t="shared" si="6"/>
        <v>0</v>
      </c>
      <c r="D68" s="69">
        <f t="shared" si="13"/>
        <v>7940</v>
      </c>
      <c r="E68" s="69">
        <f t="shared" si="7"/>
        <v>7940</v>
      </c>
      <c r="F68" s="70">
        <v>0</v>
      </c>
      <c r="G68" s="59">
        <v>0</v>
      </c>
      <c r="H68" s="69">
        <v>0</v>
      </c>
      <c r="I68" s="70"/>
      <c r="J68" s="59">
        <v>0</v>
      </c>
      <c r="K68" s="69">
        <v>0</v>
      </c>
      <c r="L68" s="70"/>
      <c r="M68" s="59">
        <v>7940</v>
      </c>
      <c r="N68" s="59">
        <v>0</v>
      </c>
      <c r="O68" s="70"/>
      <c r="P68" s="59"/>
      <c r="Q68" s="45">
        <v>7940</v>
      </c>
    </row>
    <row r="69" spans="1:17" ht="66.75" customHeight="1">
      <c r="A69" s="10" t="s">
        <v>28</v>
      </c>
      <c r="B69" s="32" t="s">
        <v>145</v>
      </c>
      <c r="C69" s="69">
        <f t="shared" si="6"/>
        <v>0</v>
      </c>
      <c r="D69" s="69">
        <f t="shared" si="13"/>
        <v>275548.1</v>
      </c>
      <c r="E69" s="69">
        <f t="shared" si="7"/>
        <v>219443.99000000002</v>
      </c>
      <c r="F69" s="70">
        <v>0</v>
      </c>
      <c r="G69" s="59">
        <v>0</v>
      </c>
      <c r="H69" s="69">
        <v>0</v>
      </c>
      <c r="I69" s="70">
        <v>0</v>
      </c>
      <c r="J69" s="59">
        <v>0</v>
      </c>
      <c r="K69" s="69">
        <v>0</v>
      </c>
      <c r="L69" s="70">
        <v>0</v>
      </c>
      <c r="M69" s="59">
        <v>0</v>
      </c>
      <c r="N69" s="59">
        <v>47025.76</v>
      </c>
      <c r="O69" s="70">
        <v>0</v>
      </c>
      <c r="P69" s="59">
        <v>275548.1</v>
      </c>
      <c r="Q69" s="45">
        <v>172418.23</v>
      </c>
    </row>
    <row r="70" spans="1:17" ht="60" customHeight="1">
      <c r="A70" s="10" t="s">
        <v>2</v>
      </c>
      <c r="B70" s="32" t="s">
        <v>101</v>
      </c>
      <c r="C70" s="69">
        <f aca="true" t="shared" si="16" ref="C70:E79">F70+I70+L70+O70</f>
        <v>0</v>
      </c>
      <c r="D70" s="69">
        <f t="shared" si="16"/>
        <v>13766.44</v>
      </c>
      <c r="E70" s="69">
        <f t="shared" si="16"/>
        <v>10118.95</v>
      </c>
      <c r="F70" s="70">
        <v>0</v>
      </c>
      <c r="G70" s="59">
        <v>0</v>
      </c>
      <c r="H70" s="69">
        <v>0</v>
      </c>
      <c r="I70" s="70">
        <v>0</v>
      </c>
      <c r="J70" s="59">
        <v>0</v>
      </c>
      <c r="K70" s="69">
        <v>0</v>
      </c>
      <c r="L70" s="70"/>
      <c r="M70" s="59">
        <v>13766.44</v>
      </c>
      <c r="N70" s="59">
        <v>0</v>
      </c>
      <c r="O70" s="70"/>
      <c r="P70" s="59">
        <v>0</v>
      </c>
      <c r="Q70" s="45">
        <v>10118.95</v>
      </c>
    </row>
    <row r="71" spans="1:17" ht="54.75" customHeight="1">
      <c r="A71" s="10" t="s">
        <v>3</v>
      </c>
      <c r="B71" s="32" t="s">
        <v>93</v>
      </c>
      <c r="C71" s="69">
        <f t="shared" si="16"/>
        <v>732454.1</v>
      </c>
      <c r="D71" s="69">
        <f t="shared" si="16"/>
        <v>732454.1</v>
      </c>
      <c r="E71" s="69">
        <f t="shared" si="16"/>
        <v>0</v>
      </c>
      <c r="F71" s="70">
        <v>183113.5</v>
      </c>
      <c r="G71" s="59">
        <v>183113.5</v>
      </c>
      <c r="H71" s="69"/>
      <c r="I71" s="70">
        <f>366227-183113.5</f>
        <v>183113.5</v>
      </c>
      <c r="J71" s="59">
        <v>183113.5</v>
      </c>
      <c r="K71" s="69">
        <v>0</v>
      </c>
      <c r="L71" s="70">
        <f>732454.1-(F71+I71+O71)</f>
        <v>183113.5</v>
      </c>
      <c r="M71" s="59">
        <v>183113.5</v>
      </c>
      <c r="N71" s="59">
        <v>0</v>
      </c>
      <c r="O71" s="70">
        <f>732454.1-549340.5</f>
        <v>183113.59999999998</v>
      </c>
      <c r="P71" s="59">
        <v>183113.6</v>
      </c>
      <c r="Q71" s="45">
        <v>0</v>
      </c>
    </row>
    <row r="72" spans="1:17" ht="64.5" customHeight="1">
      <c r="A72" s="10" t="s">
        <v>4</v>
      </c>
      <c r="B72" s="32" t="s">
        <v>97</v>
      </c>
      <c r="C72" s="69">
        <f t="shared" si="16"/>
        <v>0</v>
      </c>
      <c r="D72" s="69">
        <f t="shared" si="16"/>
        <v>284860</v>
      </c>
      <c r="E72" s="69">
        <f t="shared" si="16"/>
        <v>284860</v>
      </c>
      <c r="F72" s="70"/>
      <c r="G72" s="59">
        <v>164484</v>
      </c>
      <c r="H72" s="69">
        <v>189240</v>
      </c>
      <c r="I72" s="70">
        <v>0</v>
      </c>
      <c r="J72" s="59">
        <f>284860-164484</f>
        <v>120376</v>
      </c>
      <c r="K72" s="69">
        <f>284860-189240</f>
        <v>95620</v>
      </c>
      <c r="L72" s="70">
        <v>0</v>
      </c>
      <c r="M72" s="59">
        <v>0</v>
      </c>
      <c r="N72" s="59">
        <v>0</v>
      </c>
      <c r="O72" s="70">
        <v>0</v>
      </c>
      <c r="P72" s="59">
        <v>0</v>
      </c>
      <c r="Q72" s="45">
        <v>0</v>
      </c>
    </row>
    <row r="73" spans="1:18" ht="66.75" customHeight="1">
      <c r="A73" s="10" t="s">
        <v>5</v>
      </c>
      <c r="B73" s="32" t="s">
        <v>100</v>
      </c>
      <c r="C73" s="69">
        <f t="shared" si="16"/>
        <v>0</v>
      </c>
      <c r="D73" s="69">
        <f t="shared" si="16"/>
        <v>20320</v>
      </c>
      <c r="E73" s="69">
        <f t="shared" si="16"/>
        <v>16854.79</v>
      </c>
      <c r="F73" s="70">
        <v>0</v>
      </c>
      <c r="G73" s="59">
        <v>0</v>
      </c>
      <c r="H73" s="69">
        <v>9181.3</v>
      </c>
      <c r="I73" s="70"/>
      <c r="J73" s="59">
        <v>10460</v>
      </c>
      <c r="K73" s="69">
        <v>0</v>
      </c>
      <c r="L73" s="70">
        <v>0</v>
      </c>
      <c r="M73" s="59">
        <v>7770</v>
      </c>
      <c r="N73" s="59">
        <v>1766.49</v>
      </c>
      <c r="O73" s="70">
        <v>0</v>
      </c>
      <c r="P73" s="59">
        <v>2090</v>
      </c>
      <c r="Q73" s="45">
        <v>5907</v>
      </c>
      <c r="R73" s="11"/>
    </row>
    <row r="74" spans="1:19" s="20" customFormat="1" ht="66.75" customHeight="1">
      <c r="A74" s="10" t="s">
        <v>6</v>
      </c>
      <c r="B74" s="33" t="s">
        <v>140</v>
      </c>
      <c r="C74" s="75">
        <f t="shared" si="16"/>
        <v>0</v>
      </c>
      <c r="D74" s="75">
        <f t="shared" si="16"/>
        <v>137879.4</v>
      </c>
      <c r="E74" s="75">
        <f t="shared" si="16"/>
        <v>137879.4</v>
      </c>
      <c r="F74" s="76"/>
      <c r="G74" s="77"/>
      <c r="H74" s="75"/>
      <c r="I74" s="76"/>
      <c r="J74" s="77"/>
      <c r="K74" s="75"/>
      <c r="L74" s="76">
        <v>0</v>
      </c>
      <c r="M74" s="77">
        <v>122845</v>
      </c>
      <c r="N74" s="77">
        <v>0</v>
      </c>
      <c r="O74" s="76"/>
      <c r="P74" s="77">
        <v>15034.4</v>
      </c>
      <c r="Q74" s="49">
        <v>137879.4</v>
      </c>
      <c r="S74" s="21"/>
    </row>
    <row r="75" spans="1:17" ht="66.75" customHeight="1">
      <c r="A75" s="10" t="s">
        <v>7</v>
      </c>
      <c r="B75" s="32" t="s">
        <v>141</v>
      </c>
      <c r="C75" s="69">
        <f t="shared" si="16"/>
        <v>0</v>
      </c>
      <c r="D75" s="69">
        <f t="shared" si="16"/>
        <v>27355</v>
      </c>
      <c r="E75" s="69">
        <f t="shared" si="16"/>
        <v>22916.68</v>
      </c>
      <c r="F75" s="70"/>
      <c r="G75" s="59"/>
      <c r="H75" s="69"/>
      <c r="I75" s="70"/>
      <c r="J75" s="59"/>
      <c r="K75" s="69"/>
      <c r="L75" s="70">
        <v>0</v>
      </c>
      <c r="M75" s="59">
        <v>0</v>
      </c>
      <c r="N75" s="59">
        <v>0</v>
      </c>
      <c r="O75" s="70">
        <v>0</v>
      </c>
      <c r="P75" s="59">
        <v>27355</v>
      </c>
      <c r="Q75" s="45">
        <v>22916.68</v>
      </c>
    </row>
    <row r="76" spans="1:17" ht="66.75" customHeight="1">
      <c r="A76" s="10" t="s">
        <v>8</v>
      </c>
      <c r="B76" s="32" t="s">
        <v>142</v>
      </c>
      <c r="C76" s="69">
        <f t="shared" si="16"/>
        <v>0</v>
      </c>
      <c r="D76" s="69">
        <f t="shared" si="16"/>
        <v>7940</v>
      </c>
      <c r="E76" s="69">
        <f t="shared" si="16"/>
        <v>7940</v>
      </c>
      <c r="F76" s="70"/>
      <c r="G76" s="59"/>
      <c r="H76" s="69"/>
      <c r="I76" s="70"/>
      <c r="J76" s="59"/>
      <c r="K76" s="69"/>
      <c r="L76" s="70">
        <v>0</v>
      </c>
      <c r="M76" s="59">
        <v>7940</v>
      </c>
      <c r="N76" s="59">
        <v>0</v>
      </c>
      <c r="O76" s="70">
        <v>0</v>
      </c>
      <c r="P76" s="59">
        <v>0</v>
      </c>
      <c r="Q76" s="45">
        <v>7940</v>
      </c>
    </row>
    <row r="77" spans="1:17" ht="66.75" customHeight="1">
      <c r="A77" s="10" t="s">
        <v>9</v>
      </c>
      <c r="B77" s="32" t="s">
        <v>143</v>
      </c>
      <c r="C77" s="69">
        <f t="shared" si="16"/>
        <v>0</v>
      </c>
      <c r="D77" s="69">
        <f t="shared" si="16"/>
        <v>11369.4</v>
      </c>
      <c r="E77" s="69">
        <f t="shared" si="16"/>
        <v>11369.4</v>
      </c>
      <c r="F77" s="70"/>
      <c r="G77" s="59"/>
      <c r="H77" s="69"/>
      <c r="I77" s="70"/>
      <c r="J77" s="59"/>
      <c r="K77" s="69"/>
      <c r="L77" s="70"/>
      <c r="M77" s="59">
        <v>11369.4</v>
      </c>
      <c r="N77" s="59"/>
      <c r="O77" s="70">
        <v>0</v>
      </c>
      <c r="P77" s="59">
        <v>0</v>
      </c>
      <c r="Q77" s="45">
        <v>11369.4</v>
      </c>
    </row>
    <row r="78" spans="1:17" ht="66.75" customHeight="1">
      <c r="A78" s="10" t="s">
        <v>10</v>
      </c>
      <c r="B78" s="32" t="s">
        <v>144</v>
      </c>
      <c r="C78" s="69">
        <f t="shared" si="16"/>
        <v>0</v>
      </c>
      <c r="D78" s="69">
        <f t="shared" si="16"/>
        <v>6993.9</v>
      </c>
      <c r="E78" s="69">
        <f t="shared" si="16"/>
        <v>6993.9</v>
      </c>
      <c r="F78" s="70"/>
      <c r="G78" s="59"/>
      <c r="H78" s="69"/>
      <c r="I78" s="70"/>
      <c r="J78" s="59"/>
      <c r="K78" s="69"/>
      <c r="L78" s="70"/>
      <c r="M78" s="59">
        <v>0</v>
      </c>
      <c r="N78" s="59"/>
      <c r="O78" s="70">
        <v>0</v>
      </c>
      <c r="P78" s="59">
        <v>6993.9</v>
      </c>
      <c r="Q78" s="45">
        <v>6993.9</v>
      </c>
    </row>
    <row r="79" spans="1:17" ht="66.75" customHeight="1" thickBot="1">
      <c r="A79" s="34" t="s">
        <v>11</v>
      </c>
      <c r="B79" s="35" t="s">
        <v>95</v>
      </c>
      <c r="C79" s="71">
        <f t="shared" si="16"/>
        <v>0</v>
      </c>
      <c r="D79" s="71">
        <f t="shared" si="16"/>
        <v>18453.8</v>
      </c>
      <c r="E79" s="71">
        <f t="shared" si="16"/>
        <v>18453.8</v>
      </c>
      <c r="F79" s="72">
        <v>0</v>
      </c>
      <c r="G79" s="73">
        <v>15978.7</v>
      </c>
      <c r="H79" s="71">
        <v>18453.8</v>
      </c>
      <c r="I79" s="72">
        <v>0</v>
      </c>
      <c r="J79" s="73">
        <f>18453.8-15978.7</f>
        <v>2475.0999999999985</v>
      </c>
      <c r="K79" s="71">
        <v>0</v>
      </c>
      <c r="L79" s="72">
        <v>0</v>
      </c>
      <c r="M79" s="73">
        <v>0</v>
      </c>
      <c r="N79" s="73">
        <v>0</v>
      </c>
      <c r="O79" s="70">
        <v>0</v>
      </c>
      <c r="P79" s="59">
        <v>0</v>
      </c>
      <c r="Q79" s="59">
        <v>0</v>
      </c>
    </row>
    <row r="80" spans="1:17" ht="21.75" customHeight="1">
      <c r="A80" s="3"/>
      <c r="B80" s="24" t="s">
        <v>70</v>
      </c>
      <c r="C80" s="25"/>
      <c r="D80" s="25"/>
      <c r="E80" s="24"/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28"/>
      <c r="Q80" s="3"/>
    </row>
    <row r="81" spans="1:17" ht="20.25">
      <c r="A81" s="3"/>
      <c r="B81" s="24" t="s">
        <v>69</v>
      </c>
      <c r="C81" s="25"/>
      <c r="D81" s="25"/>
      <c r="E81" s="25"/>
      <c r="F81" s="26"/>
      <c r="G81" s="26"/>
      <c r="H81" s="26"/>
      <c r="I81" s="26"/>
      <c r="J81" s="29"/>
      <c r="K81" s="29"/>
      <c r="L81" s="29"/>
      <c r="M81" s="29"/>
      <c r="N81" s="29"/>
      <c r="O81" s="29"/>
      <c r="P81" s="28"/>
      <c r="Q81" s="3"/>
    </row>
    <row r="83" ht="18.75">
      <c r="B83" s="15"/>
    </row>
    <row r="84" ht="18.75">
      <c r="B84" s="15" t="s">
        <v>129</v>
      </c>
    </row>
    <row r="85" spans="2:10" ht="18.75">
      <c r="B85" s="15" t="s">
        <v>130</v>
      </c>
      <c r="C85" s="13"/>
      <c r="D85" s="13"/>
      <c r="J85" s="11"/>
    </row>
    <row r="86" spans="2:4" ht="18.75">
      <c r="B86" s="15" t="s">
        <v>131</v>
      </c>
      <c r="C86" s="13"/>
      <c r="D86" s="13"/>
    </row>
    <row r="87" spans="2:4" ht="18.75">
      <c r="B87" s="15" t="s">
        <v>132</v>
      </c>
      <c r="C87" s="13"/>
      <c r="D87" s="13"/>
    </row>
    <row r="88" spans="2:4" ht="18.75">
      <c r="B88" s="15" t="s">
        <v>133</v>
      </c>
      <c r="C88" s="13"/>
      <c r="D88" s="13"/>
    </row>
    <row r="89" spans="2:4" ht="18.75">
      <c r="B89" s="15" t="s">
        <v>134</v>
      </c>
      <c r="D89" s="14"/>
    </row>
    <row r="90" spans="2:4" ht="18.75">
      <c r="B90" s="15" t="s">
        <v>135</v>
      </c>
      <c r="C90" s="13"/>
      <c r="D90" s="13"/>
    </row>
    <row r="91" spans="2:4" ht="18.75">
      <c r="B91" s="15" t="s">
        <v>125</v>
      </c>
      <c r="C91" s="13"/>
      <c r="D91" s="13"/>
    </row>
    <row r="92" spans="2:4" ht="18.75">
      <c r="B92" s="15" t="s">
        <v>122</v>
      </c>
      <c r="C92" s="13"/>
      <c r="D92" s="13"/>
    </row>
    <row r="93" ht="18.75">
      <c r="B93" s="15" t="s">
        <v>136</v>
      </c>
    </row>
    <row r="94" ht="18.75">
      <c r="B94" s="15" t="s">
        <v>137</v>
      </c>
    </row>
    <row r="95" spans="2:4" ht="18.75">
      <c r="B95" s="15" t="s">
        <v>138</v>
      </c>
      <c r="C95" s="13"/>
      <c r="D95" s="13"/>
    </row>
    <row r="96" spans="2:4" ht="18.75">
      <c r="B96" s="15" t="s">
        <v>139</v>
      </c>
      <c r="C96" s="13"/>
      <c r="D96" s="13"/>
    </row>
    <row r="97" spans="2:4" ht="18.75">
      <c r="B97" s="15" t="s">
        <v>146</v>
      </c>
      <c r="D97" s="14"/>
    </row>
    <row r="98" spans="2:4" ht="18.75">
      <c r="B98" s="15" t="s">
        <v>147</v>
      </c>
      <c r="D98" s="14"/>
    </row>
    <row r="99" ht="18.75">
      <c r="B99" s="15"/>
    </row>
    <row r="100" ht="21" customHeight="1">
      <c r="B100" s="15"/>
    </row>
    <row r="101" spans="3:4" ht="18.75">
      <c r="C101" s="13"/>
      <c r="D101" s="13"/>
    </row>
    <row r="102" spans="3:4" ht="18.75">
      <c r="C102" s="13"/>
      <c r="D102" s="13"/>
    </row>
    <row r="106" ht="18.75">
      <c r="B106" s="16">
        <f>10281.5</f>
        <v>10281.5</v>
      </c>
    </row>
    <row r="107" ht="18.75">
      <c r="B107" s="16">
        <v>240628.2</v>
      </c>
    </row>
    <row r="108" ht="18.75">
      <c r="B108" s="16">
        <v>140491</v>
      </c>
    </row>
    <row r="109" spans="2:5" ht="18.75">
      <c r="B109" s="17">
        <v>1189878.8</v>
      </c>
      <c r="C109" s="1"/>
      <c r="D109" s="1"/>
      <c r="E109" s="13"/>
    </row>
    <row r="110" spans="2:8" ht="18.75">
      <c r="B110" s="16">
        <v>126297.9</v>
      </c>
      <c r="G110" s="1">
        <v>3917130.6</v>
      </c>
      <c r="H110" s="1">
        <f>G110-3888272.8</f>
        <v>28857.80000000028</v>
      </c>
    </row>
    <row r="111" ht="18.75">
      <c r="B111" s="16">
        <v>162105</v>
      </c>
    </row>
    <row r="112" ht="18.75">
      <c r="B112" s="16">
        <v>994244</v>
      </c>
    </row>
    <row r="113" ht="18.75">
      <c r="B113" s="16">
        <v>82252</v>
      </c>
    </row>
    <row r="114" ht="18.75">
      <c r="B114" s="16">
        <v>1211248.6</v>
      </c>
    </row>
    <row r="115" ht="18.75">
      <c r="B115" s="16">
        <v>123378</v>
      </c>
    </row>
    <row r="116" ht="18.75">
      <c r="B116" s="16">
        <v>1123819.9</v>
      </c>
    </row>
    <row r="117" ht="18.75">
      <c r="B117" s="16">
        <v>3587558.4</v>
      </c>
    </row>
    <row r="118" ht="18.75">
      <c r="B118" s="16">
        <v>269293</v>
      </c>
    </row>
    <row r="119" ht="18.75">
      <c r="B119" s="16">
        <v>137015.4</v>
      </c>
    </row>
    <row r="120" ht="18.75">
      <c r="B120" s="16">
        <v>814706.1</v>
      </c>
    </row>
    <row r="121" ht="18.75">
      <c r="B121" s="16">
        <v>60512.8</v>
      </c>
    </row>
    <row r="122" ht="18.75">
      <c r="B122" s="16">
        <v>12337.8</v>
      </c>
    </row>
    <row r="123" ht="18.75">
      <c r="B123" s="16">
        <v>32489.5</v>
      </c>
    </row>
    <row r="124" ht="18.75">
      <c r="B124" s="16">
        <v>246756</v>
      </c>
    </row>
    <row r="125" ht="18.75">
      <c r="B125" s="16">
        <v>6580.2</v>
      </c>
    </row>
    <row r="126" ht="18.75">
      <c r="B126" s="16">
        <v>98077.3</v>
      </c>
    </row>
    <row r="127" ht="18.75">
      <c r="B127" s="16">
        <v>41126</v>
      </c>
    </row>
    <row r="128" ht="18.75">
      <c r="B128" s="16">
        <v>61590.3</v>
      </c>
    </row>
    <row r="129" ht="18.75">
      <c r="B129" s="16">
        <v>120745.9</v>
      </c>
    </row>
    <row r="130" ht="18.75">
      <c r="B130" s="16">
        <v>78501.3</v>
      </c>
    </row>
    <row r="131" ht="18.75">
      <c r="B131" s="16">
        <v>116139.8</v>
      </c>
    </row>
    <row r="132" ht="18.75">
      <c r="B132" s="16">
        <v>98217.6</v>
      </c>
    </row>
    <row r="133" ht="18.75">
      <c r="B133" s="16">
        <v>874050.3</v>
      </c>
    </row>
    <row r="134" ht="18.75">
      <c r="B134" s="16">
        <v>3306942</v>
      </c>
    </row>
    <row r="135" ht="18.75">
      <c r="B135" s="16"/>
    </row>
  </sheetData>
  <sheetProtection/>
  <mergeCells count="13">
    <mergeCell ref="A65:B65"/>
    <mergeCell ref="A13:B13"/>
    <mergeCell ref="L5:N5"/>
    <mergeCell ref="O5:Q5"/>
    <mergeCell ref="A7:B7"/>
    <mergeCell ref="A8:B8"/>
    <mergeCell ref="A14:B14"/>
    <mergeCell ref="B1:O1"/>
    <mergeCell ref="B2:O2"/>
    <mergeCell ref="A5:B6"/>
    <mergeCell ref="C5:E5"/>
    <mergeCell ref="F5:H5"/>
    <mergeCell ref="I5:K5"/>
  </mergeCells>
  <printOptions/>
  <pageMargins left="0.75" right="0.16" top="0.29" bottom="0.24" header="0.5" footer="0.5"/>
  <pageSetup horizontalDpi="600" verticalDpi="600" orientation="landscape" scale="45" r:id="rId3"/>
  <rowBreaks count="1" manualBreakCount="1">
    <brk id="64" max="16" man="1"/>
  </rowBreaks>
  <colBreaks count="1" manualBreakCount="1">
    <brk id="8" max="6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Harutyunyan</dc:creator>
  <cp:keywords/>
  <dc:description/>
  <cp:lastModifiedBy>Maria Harutyunyan</cp:lastModifiedBy>
  <cp:lastPrinted>2016-05-06T12:32:16Z</cp:lastPrinted>
  <dcterms:created xsi:type="dcterms:W3CDTF">1996-10-14T23:33:28Z</dcterms:created>
  <dcterms:modified xsi:type="dcterms:W3CDTF">2016-05-10T07:32:31Z</dcterms:modified>
  <cp:category/>
  <cp:version/>
  <cp:contentType/>
  <cp:contentStatus/>
</cp:coreProperties>
</file>